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ИЭО\АСУП\Для сайта\"/>
    </mc:Choice>
  </mc:AlternateContent>
  <bookViews>
    <workbookView xWindow="0" yWindow="0" windowWidth="28800" windowHeight="12330" activeTab="2"/>
  </bookViews>
  <sheets>
    <sheet name="Граждане РБ" sheetId="9" r:id="rId1"/>
    <sheet name="стомотология МХЛ" sheetId="7" r:id="rId2"/>
    <sheet name="Иностранцы" sheetId="10" r:id="rId3"/>
    <sheet name="Лист4" sheetId="4" state="hidden" r:id="rId4"/>
    <sheet name="Лист3" sheetId="3" state="hidden" r:id="rId5"/>
    <sheet name="Лист6" sheetId="6" state="hidden" r:id="rId6"/>
  </sheets>
  <definedNames>
    <definedName name="_xlnm.Print_Titles" localSheetId="0">'Граждане РБ'!$6:$7</definedName>
    <definedName name="_xlnm.Print_Titles" localSheetId="2">Иностранцы!$6:$7</definedName>
    <definedName name="_xlnm.Print_Titles" localSheetId="1">'стомотология МХЛ'!$6:$7</definedName>
    <definedName name="_xlnm.Print_Area" localSheetId="0">'Граждане РБ'!$A$1:$G$90</definedName>
    <definedName name="_xlnm.Print_Area" localSheetId="2">Иностранцы!$A$1:$G$90</definedName>
    <definedName name="_xlnm.Print_Area" localSheetId="1">'стомотология МХЛ'!$A$1:$G$90</definedName>
  </definedNames>
  <calcPr calcId="162913"/>
</workbook>
</file>

<file path=xl/calcChain.xml><?xml version="1.0" encoding="utf-8"?>
<calcChain xmlns="http://schemas.openxmlformats.org/spreadsheetml/2006/main">
  <c r="J10" i="4" l="1"/>
  <c r="H41" i="4"/>
  <c r="C34" i="4" l="1"/>
  <c r="Z42" i="6" l="1"/>
  <c r="Y42" i="6"/>
  <c r="W42" i="6"/>
  <c r="V42" i="6"/>
  <c r="U42" i="6"/>
  <c r="P42" i="6"/>
  <c r="C42" i="6"/>
  <c r="F41" i="6"/>
  <c r="G41" i="6" s="1"/>
  <c r="L41" i="6" s="1"/>
  <c r="Q40" i="6"/>
  <c r="F40" i="6"/>
  <c r="G40" i="6" s="1"/>
  <c r="L40" i="6" s="1"/>
  <c r="Q39" i="6"/>
  <c r="F39" i="6"/>
  <c r="G39" i="6" s="1"/>
  <c r="I39" i="6" s="1"/>
  <c r="Q38" i="6"/>
  <c r="Q42" i="6" s="1"/>
  <c r="F38" i="6"/>
  <c r="G38" i="6" s="1"/>
  <c r="F37" i="6"/>
  <c r="G37" i="6" s="1"/>
  <c r="F36" i="6"/>
  <c r="G36" i="6" s="1"/>
  <c r="F35" i="6"/>
  <c r="G35" i="6" s="1"/>
  <c r="L35" i="6" s="1"/>
  <c r="F34" i="6"/>
  <c r="G34" i="6" s="1"/>
  <c r="L34" i="6" s="1"/>
  <c r="F33" i="6"/>
  <c r="G33" i="6" s="1"/>
  <c r="I33" i="6" s="1"/>
  <c r="F32" i="6"/>
  <c r="G32" i="6" s="1"/>
  <c r="L32" i="6" s="1"/>
  <c r="F31" i="6"/>
  <c r="G31" i="6" s="1"/>
  <c r="I31" i="6" s="1"/>
  <c r="F30" i="6"/>
  <c r="G30" i="6" s="1"/>
  <c r="N30" i="6" s="1"/>
  <c r="F29" i="6"/>
  <c r="G29" i="6" s="1"/>
  <c r="F28" i="6"/>
  <c r="G28" i="6" s="1"/>
  <c r="I28" i="6" s="1"/>
  <c r="F27" i="6"/>
  <c r="G27" i="6"/>
  <c r="N27" i="6" s="1"/>
  <c r="F26" i="6"/>
  <c r="G26" i="6" s="1"/>
  <c r="N26" i="6" s="1"/>
  <c r="F25" i="6"/>
  <c r="G25" i="6" s="1"/>
  <c r="F24" i="6"/>
  <c r="G24" i="6" s="1"/>
  <c r="F23" i="6"/>
  <c r="G23" i="6" s="1"/>
  <c r="N23" i="6" s="1"/>
  <c r="F22" i="6"/>
  <c r="G22" i="6" s="1"/>
  <c r="L22" i="6" s="1"/>
  <c r="F21" i="6"/>
  <c r="G21" i="6" s="1"/>
  <c r="N21" i="6" s="1"/>
  <c r="F20" i="6"/>
  <c r="G20" i="6" s="1"/>
  <c r="F19" i="6"/>
  <c r="G19" i="6" s="1"/>
  <c r="F18" i="6"/>
  <c r="G18" i="6" s="1"/>
  <c r="F17" i="6"/>
  <c r="G17" i="6" s="1"/>
  <c r="M17" i="6" s="1"/>
  <c r="F16" i="6"/>
  <c r="G16" i="6" s="1"/>
  <c r="N16" i="6" s="1"/>
  <c r="F15" i="6"/>
  <c r="G15" i="6" s="1"/>
  <c r="I15" i="6" s="1"/>
  <c r="I32" i="6"/>
  <c r="O32" i="6" s="1"/>
  <c r="X32" i="6" s="1"/>
  <c r="L39" i="6"/>
  <c r="O39" i="6" s="1"/>
  <c r="T27" i="6"/>
  <c r="I27" i="6"/>
  <c r="L33" i="6"/>
  <c r="I41" i="6"/>
  <c r="O41" i="6" s="1"/>
  <c r="X41" i="6" s="1"/>
  <c r="L16" i="6"/>
  <c r="I35" i="6"/>
  <c r="I40" i="6"/>
  <c r="O40" i="6" s="1"/>
  <c r="I23" i="6"/>
  <c r="F9" i="3"/>
  <c r="H9" i="3" s="1"/>
  <c r="F23" i="3" s="1"/>
  <c r="G23" i="3" s="1"/>
  <c r="C10" i="4"/>
  <c r="C12" i="4" s="1"/>
  <c r="J12" i="4"/>
  <c r="J13" i="4"/>
  <c r="C16" i="4"/>
  <c r="J20" i="4"/>
  <c r="J16" i="4" s="1"/>
  <c r="J22" i="4"/>
  <c r="C13" i="4" l="1"/>
  <c r="T23" i="6"/>
  <c r="N18" i="6"/>
  <c r="L18" i="6"/>
  <c r="X40" i="6"/>
  <c r="X39" i="6"/>
  <c r="L30" i="6"/>
  <c r="N24" i="6"/>
  <c r="I24" i="6"/>
  <c r="L24" i="6"/>
  <c r="I25" i="6"/>
  <c r="L25" i="6"/>
  <c r="O35" i="6"/>
  <c r="X35" i="6" s="1"/>
  <c r="L37" i="6"/>
  <c r="I37" i="6"/>
  <c r="N29" i="6"/>
  <c r="T29" i="6"/>
  <c r="I29" i="6"/>
  <c r="L29" i="6"/>
  <c r="L15" i="6"/>
  <c r="T15" i="6"/>
  <c r="J15" i="6"/>
  <c r="T20" i="6"/>
  <c r="J20" i="6"/>
  <c r="L20" i="6"/>
  <c r="T21" i="6"/>
  <c r="J21" i="6"/>
  <c r="I21" i="6"/>
  <c r="T22" i="6"/>
  <c r="J22" i="6"/>
  <c r="I22" i="6"/>
  <c r="L21" i="6"/>
  <c r="I20" i="6"/>
  <c r="N22" i="6"/>
  <c r="N20" i="6"/>
  <c r="I34" i="6"/>
  <c r="O34" i="6" s="1"/>
  <c r="X34" i="6" s="1"/>
  <c r="I30" i="6"/>
  <c r="O30" i="6" s="1"/>
  <c r="S30" i="6" s="1"/>
  <c r="X30" i="6" s="1"/>
  <c r="M15" i="6"/>
  <c r="M42" i="6" s="1"/>
  <c r="N15" i="6"/>
  <c r="O15" i="6" s="1"/>
  <c r="I16" i="6"/>
  <c r="J16" i="6"/>
  <c r="O16" i="6" s="1"/>
  <c r="S16" i="6" s="1"/>
  <c r="G42" i="6"/>
  <c r="L17" i="6"/>
  <c r="T18" i="6"/>
  <c r="I18" i="6"/>
  <c r="J18" i="6"/>
  <c r="L23" i="6"/>
  <c r="O23" i="6" s="1"/>
  <c r="S23" i="6" s="1"/>
  <c r="X23" i="6" s="1"/>
  <c r="N25" i="6"/>
  <c r="L26" i="6"/>
  <c r="I26" i="6"/>
  <c r="L27" i="6"/>
  <c r="O27" i="6" s="1"/>
  <c r="N28" i="6"/>
  <c r="L28" i="6"/>
  <c r="L31" i="6"/>
  <c r="O31" i="6" s="1"/>
  <c r="X31" i="6" s="1"/>
  <c r="Y31" i="6" s="1"/>
  <c r="Z31" i="6" s="1"/>
  <c r="O33" i="6"/>
  <c r="X33" i="6" s="1"/>
  <c r="Y33" i="6" s="1"/>
  <c r="Z33" i="6" s="1"/>
  <c r="L36" i="6"/>
  <c r="I36" i="6"/>
  <c r="L38" i="6"/>
  <c r="I38" i="6"/>
  <c r="C11" i="4"/>
  <c r="C33" i="4" s="1"/>
  <c r="C35" i="4" s="1"/>
  <c r="J11" i="4"/>
  <c r="J33" i="4" s="1"/>
  <c r="Y40" i="6"/>
  <c r="Z40" i="6" s="1"/>
  <c r="Y35" i="6"/>
  <c r="Z35" i="6" s="1"/>
  <c r="Y41" i="6"/>
  <c r="Z41" i="6" s="1"/>
  <c r="Y39" i="6"/>
  <c r="Z39" i="6" s="1"/>
  <c r="Y34" i="6"/>
  <c r="Z34" i="6" s="1"/>
  <c r="Y32" i="6"/>
  <c r="Z32" i="6" s="1"/>
  <c r="O36" i="6"/>
  <c r="X36" i="6" s="1"/>
  <c r="N17" i="6"/>
  <c r="I17" i="6"/>
  <c r="T17" i="6"/>
  <c r="H10" i="4" l="1"/>
  <c r="H32" i="4"/>
  <c r="O29" i="6"/>
  <c r="S29" i="6" s="1"/>
  <c r="X29" i="6" s="1"/>
  <c r="Y29" i="6" s="1"/>
  <c r="Z29" i="6" s="1"/>
  <c r="H12" i="4"/>
  <c r="T42" i="6"/>
  <c r="N42" i="6"/>
  <c r="O25" i="6"/>
  <c r="S25" i="6" s="1"/>
  <c r="X25" i="6" s="1"/>
  <c r="Y25" i="6" s="1"/>
  <c r="Z25" i="6" s="1"/>
  <c r="O24" i="6"/>
  <c r="S24" i="6" s="1"/>
  <c r="X24" i="6" s="1"/>
  <c r="O22" i="6"/>
  <c r="S22" i="6" s="1"/>
  <c r="X22" i="6" s="1"/>
  <c r="Y22" i="6" s="1"/>
  <c r="Z22" i="6" s="1"/>
  <c r="L42" i="6"/>
  <c r="O28" i="6"/>
  <c r="S28" i="6" s="1"/>
  <c r="X28" i="6" s="1"/>
  <c r="H22" i="4"/>
  <c r="S27" i="6"/>
  <c r="X27" i="6" s="1"/>
  <c r="Y27" i="6" s="1"/>
  <c r="Z27" i="6" s="1"/>
  <c r="Y23" i="6"/>
  <c r="Z23" i="6" s="1"/>
  <c r="S15" i="6"/>
  <c r="X15" i="6" s="1"/>
  <c r="Y15" i="6" s="1"/>
  <c r="Z15" i="6" s="1"/>
  <c r="O20" i="6"/>
  <c r="S20" i="6" s="1"/>
  <c r="O38" i="6"/>
  <c r="X38" i="6" s="1"/>
  <c r="Y38" i="6" s="1"/>
  <c r="Z38" i="6" s="1"/>
  <c r="O26" i="6"/>
  <c r="O18" i="6"/>
  <c r="S18" i="6" s="1"/>
  <c r="X18" i="6" s="1"/>
  <c r="Y18" i="6" s="1"/>
  <c r="Z18" i="6" s="1"/>
  <c r="O21" i="6"/>
  <c r="S21" i="6" s="1"/>
  <c r="X21" i="6" s="1"/>
  <c r="Y21" i="6" s="1"/>
  <c r="Z21" i="6" s="1"/>
  <c r="J42" i="6"/>
  <c r="O37" i="6"/>
  <c r="X37" i="6" s="1"/>
  <c r="Y37" i="6" s="1"/>
  <c r="Z37" i="6" s="1"/>
  <c r="H19" i="4"/>
  <c r="H23" i="4"/>
  <c r="H25" i="4"/>
  <c r="H27" i="4"/>
  <c r="H29" i="4"/>
  <c r="H31" i="4"/>
  <c r="H13" i="4"/>
  <c r="H11" i="4" s="1"/>
  <c r="H15" i="4"/>
  <c r="H18" i="4"/>
  <c r="H20" i="4"/>
  <c r="H21" i="4"/>
  <c r="H24" i="4"/>
  <c r="H26" i="4"/>
  <c r="H28" i="4"/>
  <c r="H30" i="4"/>
  <c r="Y24" i="6"/>
  <c r="Z24" i="6" s="1"/>
  <c r="Y30" i="6"/>
  <c r="Z30" i="6" s="1"/>
  <c r="Y36" i="6"/>
  <c r="Z36" i="6" s="1"/>
  <c r="Y28" i="6"/>
  <c r="Z28" i="6" s="1"/>
  <c r="X16" i="6"/>
  <c r="O17" i="6"/>
  <c r="I42" i="6"/>
  <c r="S26" i="6" l="1"/>
  <c r="X26" i="6" s="1"/>
  <c r="Y26" i="6" s="1"/>
  <c r="Z26" i="6" s="1"/>
  <c r="X20" i="6"/>
  <c r="Y20" i="6" s="1"/>
  <c r="Z20" i="6" s="1"/>
  <c r="H16" i="4"/>
  <c r="S17" i="6"/>
  <c r="O42" i="6"/>
  <c r="Y16" i="6"/>
  <c r="Z16" i="6" s="1"/>
  <c r="S42" i="6" l="1"/>
  <c r="H33" i="4"/>
  <c r="H35" i="4" s="1"/>
  <c r="X17" i="6"/>
  <c r="Y17" i="6" l="1"/>
  <c r="Z17" i="6" s="1"/>
  <c r="X42" i="6"/>
</calcChain>
</file>

<file path=xl/comments1.xml><?xml version="1.0" encoding="utf-8"?>
<comments xmlns="http://schemas.openxmlformats.org/spreadsheetml/2006/main">
  <authors>
    <author>Customer</author>
    <author>user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зав.ОК, санитарки, сестра-хозяйка, дежурный по залу, банщик</t>
        </r>
      </text>
    </comment>
    <comment ref="J15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 - Ровалспецмонтаж
 - ТО газопровода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подписка - 10900
</t>
        </r>
      </text>
    </comment>
    <comment ref="J25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 - реклама, издательство;
 - подписка;
 - индсофсистем;
 - цент.инф.по ценам, обн.прогр.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материалы - 1840,1/3;
инвентарь - 987,5/3
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Белхирана, Белмедтех.- 856,4/3</t>
        </r>
      </text>
    </comment>
    <comment ref="J28" authorId="1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 - белатронсервис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земельный налог - 541,8;
стирка белья - 120,8;
МРЦГИЭ - 57,1; 
учеба - 314,6
</t>
        </r>
      </text>
    </comment>
    <comment ref="J32" authorId="0" shapeId="0">
      <text>
        <r>
          <rPr>
            <sz val="8"/>
            <color indexed="81"/>
            <rFont val="Tahoma"/>
            <family val="2"/>
            <charset val="204"/>
          </rPr>
          <t xml:space="preserve"> - земельный;  
 - экологический;
 - учеба;
 - участие в выст,тех.пасп;
 - торгтехника 
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I33" authorId="0" shapeId="0">
      <text>
        <r>
          <rPr>
            <b/>
            <sz val="8"/>
            <color indexed="81"/>
            <rFont val="Tahoma"/>
            <family val="2"/>
            <charset val="204"/>
          </rPr>
          <t>Customer:</t>
        </r>
        <r>
          <rPr>
            <sz val="8"/>
            <color indexed="81"/>
            <rFont val="Tahoma"/>
            <family val="2"/>
            <charset val="204"/>
          </rPr>
          <t xml:space="preserve">
Ввести сумму сч. 26 в затратах 29/5
</t>
        </r>
      </text>
    </comment>
  </commentList>
</comments>
</file>

<file path=xl/sharedStrings.xml><?xml version="1.0" encoding="utf-8"?>
<sst xmlns="http://schemas.openxmlformats.org/spreadsheetml/2006/main" count="954" uniqueCount="313">
  <si>
    <t>УТВЕРЖДАЮ:</t>
  </si>
  <si>
    <t>Прейскурант стоимости услуг</t>
  </si>
  <si>
    <t>№ п/п</t>
  </si>
  <si>
    <t>Наименование стоматологических услуг</t>
  </si>
  <si>
    <t>Единица измерения</t>
  </si>
  <si>
    <t>Общие стоматологические мероприятия</t>
  </si>
  <si>
    <t>обследование</t>
  </si>
  <si>
    <t>манипуляция</t>
  </si>
  <si>
    <t>консультация</t>
  </si>
  <si>
    <t>Стоматология терапевтическая</t>
  </si>
  <si>
    <t xml:space="preserve"> 2.1</t>
  </si>
  <si>
    <t>работников лесного хозяйства</t>
  </si>
  <si>
    <t>Итого:</t>
  </si>
  <si>
    <t>Гальванизация общая, местная</t>
  </si>
  <si>
    <t>РАСЧЕТ</t>
  </si>
  <si>
    <t>заработной платы специалистов за одну минуту</t>
  </si>
  <si>
    <t>(наименование платной медицинской услуги)</t>
  </si>
  <si>
    <t>Должность специалиста, оказывающего платную медицинскую услугу</t>
  </si>
  <si>
    <t>Количество рабочих часов в месяц (ч)</t>
  </si>
  <si>
    <t>Заработная плата в месяц, в том числе (руб.)</t>
  </si>
  <si>
    <t>Заработная плата за одну минуту (руб.)</t>
  </si>
  <si>
    <t>Наименование платной медицинской услуги</t>
  </si>
  <si>
    <t>должностной оклад</t>
  </si>
  <si>
    <t>выплаты стимулирующего и компенсирующего характера в соответствии с законодательством 80%</t>
  </si>
  <si>
    <t>Медицинская сестра по физиотерапии</t>
  </si>
  <si>
    <t>отчисления в Фонд социальной защиты населения Министерства труда и социальной защиты Республики Беларусь</t>
  </si>
  <si>
    <t>Примечание: В выплаты стимулирующего характера включена надбавка за сложность и напряженность труда</t>
  </si>
  <si>
    <t>страховой взнос по обязательному страхованию от несчастных случаев на производстве и профессиональных заболеваний</t>
  </si>
  <si>
    <t>заработной платы специалистов</t>
  </si>
  <si>
    <r>
      <t xml:space="preserve">по </t>
    </r>
    <r>
      <rPr>
        <b/>
        <u/>
        <sz val="12"/>
        <rFont val="Times New Roman"/>
        <family val="1"/>
        <charset val="204"/>
      </rPr>
      <t>гальванизации общей, местной</t>
    </r>
  </si>
  <si>
    <t>Прочие расходы</t>
  </si>
  <si>
    <t>Норма времени (мин)</t>
  </si>
  <si>
    <t>Заработная плата специалиста за одну минуту</t>
  </si>
  <si>
    <t>Заработная плата специалиста (гр. 3 х гр. 5)</t>
  </si>
  <si>
    <t>Итого</t>
  </si>
  <si>
    <t>Медсестра по физиотерапии</t>
  </si>
  <si>
    <t>процента накладных расходов</t>
  </si>
  <si>
    <t>процента общехозяйственных расходов</t>
  </si>
  <si>
    <t>№     п/п</t>
  </si>
  <si>
    <t>Наименование статей затрат</t>
  </si>
  <si>
    <t>Всего расходов (тыс. руб.)</t>
  </si>
  <si>
    <t>Сч. 26 за        3 месяца 2011года</t>
  </si>
  <si>
    <t>апрель,май, июнь</t>
  </si>
  <si>
    <t>Заработная плата управленческого и вспомогательного персонала</t>
  </si>
  <si>
    <t>Начисление на оплату труда (к пункту 1):</t>
  </si>
  <si>
    <t xml:space="preserve"> 2.2</t>
  </si>
  <si>
    <t>Аренда зданий, сооружений и оборудования</t>
  </si>
  <si>
    <t>Эксплуатационные расходы по содержанию зданий, сооружений, оборудования и т.п.</t>
  </si>
  <si>
    <t>Оплата коммунальных услуг</t>
  </si>
  <si>
    <t>В том числе:</t>
  </si>
  <si>
    <t xml:space="preserve"> 5.1</t>
  </si>
  <si>
    <t>за потребление газа</t>
  </si>
  <si>
    <t xml:space="preserve"> 5.2 </t>
  </si>
  <si>
    <t>за потребление электрической энергии</t>
  </si>
  <si>
    <t xml:space="preserve"> 5.3</t>
  </si>
  <si>
    <t>прочие коммунальные расходы</t>
  </si>
  <si>
    <t>Плата сторонним организациям за обеспечение противопожарной и сторожевой охраны</t>
  </si>
  <si>
    <t>Оплата услуг связи</t>
  </si>
  <si>
    <t>Плата за кредиты и услуги банка</t>
  </si>
  <si>
    <t>Амортизация зданий, сооружений, медицинского оборудования</t>
  </si>
  <si>
    <t>Амортизация зданий, сооружений</t>
  </si>
  <si>
    <t>Оплата консультативных и информационных услуг</t>
  </si>
  <si>
    <t>Приобретение канцелярских принадлежностей, материалов и предметов для текущих и хозяйственных нужд</t>
  </si>
  <si>
    <t>Плата за ремонт и техническое обслуживание медицинского оборудования</t>
  </si>
  <si>
    <t>Плата за ремонт и техническое обслуживание сантехнического оборудования</t>
  </si>
  <si>
    <t>Оплата текущего ремонта зданий, сооружений</t>
  </si>
  <si>
    <t>Командировочные расходы</t>
  </si>
  <si>
    <t>Транспортные расходы</t>
  </si>
  <si>
    <t>Основная заработная плата за соответствующий период</t>
  </si>
  <si>
    <t>Процент накладных расходов (стр. 18 / стр. 19 х 100)</t>
  </si>
  <si>
    <t xml:space="preserve"> Общехозяйственные расходы</t>
  </si>
  <si>
    <t xml:space="preserve">Экономист                                                                   </t>
  </si>
  <si>
    <t xml:space="preserve">Экономист                                                                      </t>
  </si>
  <si>
    <r>
      <t xml:space="preserve">по </t>
    </r>
    <r>
      <rPr>
        <b/>
        <u/>
        <sz val="12"/>
        <rFont val="Times New Roman"/>
        <family val="1"/>
        <charset val="204"/>
      </rPr>
      <t>стаиотологии</t>
    </r>
  </si>
  <si>
    <t xml:space="preserve">                </t>
  </si>
  <si>
    <t>УТВЕРЖДАЮ</t>
  </si>
  <si>
    <t>Тарифная ставка 1-го разряда</t>
  </si>
  <si>
    <t>Директор</t>
  </si>
  <si>
    <t>Доплата за филиал</t>
  </si>
  <si>
    <t>__________Н.Н.Ермоленко</t>
  </si>
  <si>
    <t>Сельские</t>
  </si>
  <si>
    <t>"___"_______________2011 г.</t>
  </si>
  <si>
    <t>ШТАТНОЕ РАСПИСАНИЕ</t>
  </si>
  <si>
    <t>Государственного учреждения дополнительного образования взрослых</t>
  </si>
  <si>
    <t>"Республиканский центрповышения квалификации руководящих работников и специалистов лесного хозяйства"</t>
  </si>
  <si>
    <t>Наименование  должностей</t>
  </si>
  <si>
    <t>Фамилия, И.О.</t>
  </si>
  <si>
    <t>К-во ед.</t>
  </si>
  <si>
    <t>Тарифный разряд</t>
  </si>
  <si>
    <t>Тарифный коэфф.</t>
  </si>
  <si>
    <t>Корректирующий коэффициент</t>
  </si>
  <si>
    <t>Тарифный оклад</t>
  </si>
  <si>
    <t>% за контракт</t>
  </si>
  <si>
    <t>Повышение по контракту, руб.</t>
  </si>
  <si>
    <t>Повышение по Постановл. от 01.09.10 №1267</t>
  </si>
  <si>
    <t>Повышение за стаж, %</t>
  </si>
  <si>
    <t>Повышение за стаж, руб.</t>
  </si>
  <si>
    <t>За работу в сельской местности 20%</t>
  </si>
  <si>
    <t>Должностной оклад</t>
  </si>
  <si>
    <t>д. 10% филиал.</t>
  </si>
  <si>
    <t>Ежемесячная дифференц. доплата</t>
  </si>
  <si>
    <t>Н. сложн.и напр., %</t>
  </si>
  <si>
    <t>Надбавка за сложность и напряженость</t>
  </si>
  <si>
    <t>Надбавка за квалификац. категорию</t>
  </si>
  <si>
    <t>Доплата за вредность 20 %</t>
  </si>
  <si>
    <t>Доплата за особый хар-р работ</t>
  </si>
  <si>
    <t>Надбавка за классность</t>
  </si>
  <si>
    <t>Всего за месяц</t>
  </si>
  <si>
    <t>Оздоровительный комплекс</t>
  </si>
  <si>
    <t>Зав. оздоровит. комплексом</t>
  </si>
  <si>
    <t>Лейко А.Л.</t>
  </si>
  <si>
    <t>Врач терапевт</t>
  </si>
  <si>
    <t xml:space="preserve">Старшая мед.сестра </t>
  </si>
  <si>
    <t>Волошина Т.Е.</t>
  </si>
  <si>
    <t xml:space="preserve">Врач стоматолог </t>
  </si>
  <si>
    <t xml:space="preserve">Врач УЗД </t>
  </si>
  <si>
    <t>Кузьмич О.Л.</t>
  </si>
  <si>
    <t>Врач-физиотерапевт</t>
  </si>
  <si>
    <t>Езерская З.М.</t>
  </si>
  <si>
    <t xml:space="preserve">Мед.сестра по массажу </t>
  </si>
  <si>
    <t>Ращевский Ч.Э.</t>
  </si>
  <si>
    <t>Мед.сестра физиотерапии</t>
  </si>
  <si>
    <t>Янович Л.А.</t>
  </si>
  <si>
    <t xml:space="preserve">Мед.сестра физиотерапии </t>
  </si>
  <si>
    <t>Трофименко В.М.</t>
  </si>
  <si>
    <t>Мед.сестра стоматол.кабинета</t>
  </si>
  <si>
    <t>Корень О.П.</t>
  </si>
  <si>
    <t>Яроцкая А.И.</t>
  </si>
  <si>
    <t xml:space="preserve">Мед.сестра УЗД кабинета </t>
  </si>
  <si>
    <t>Аверина Г.А.</t>
  </si>
  <si>
    <t xml:space="preserve">Сестра-хозяйка </t>
  </si>
  <si>
    <t xml:space="preserve">Санитарка </t>
  </si>
  <si>
    <t xml:space="preserve">Санитарка  </t>
  </si>
  <si>
    <t>Санитарка</t>
  </si>
  <si>
    <t>Дежурный по залу</t>
  </si>
  <si>
    <t>Кулеш А.В.</t>
  </si>
  <si>
    <t>Рабочий по обслужив. в бане</t>
  </si>
  <si>
    <t>Баранова О.И.</t>
  </si>
  <si>
    <t>Наложение пасты над устьями каналов</t>
  </si>
  <si>
    <t>Экстирпация пульпы из одного канала</t>
  </si>
  <si>
    <t>Распломбирование и инструментальная обработка одного канала зуба, ранее запломбированного пастой</t>
  </si>
  <si>
    <t>Антисептическая обработка одного канала</t>
  </si>
  <si>
    <t>Медикаментозная обработка одного канала с помощью специальных средств для прохождения и расширения корневого канала</t>
  </si>
  <si>
    <t>Пломбирование одного канала гуттаперчевыми штифтами на силлере методом конденсации</t>
  </si>
  <si>
    <t xml:space="preserve"> - сентябрь          сч. 26 - 16146004;   сч. 70 - 15339929</t>
  </si>
  <si>
    <t xml:space="preserve"> - октябрь       сч. 26 - 14482625    сч.70 -20230710</t>
  </si>
  <si>
    <t xml:space="preserve"> - ноябрь       сч. 26 - 14264775    сч.70 - 20662649</t>
  </si>
  <si>
    <t>Итого:         сч. 26 - 44893404;  сч. 70 - 56233288</t>
  </si>
  <si>
    <t>Наложение матрицы</t>
  </si>
  <si>
    <t>3</t>
  </si>
  <si>
    <t xml:space="preserve">Тариф на услугу, рублей </t>
  </si>
  <si>
    <t xml:space="preserve">Шамов </t>
  </si>
  <si>
    <t>вол+ян+яр</t>
  </si>
  <si>
    <t>Шейма В.А.</t>
  </si>
  <si>
    <t>шей+максак</t>
  </si>
  <si>
    <t>Серкова Е.В.</t>
  </si>
  <si>
    <t>трф0,5</t>
  </si>
  <si>
    <t>Максакова Ю.А.</t>
  </si>
  <si>
    <t>Хиневич В.И.</t>
  </si>
  <si>
    <t xml:space="preserve">Тарифная ставка 1 разряда  240 000 руб. </t>
  </si>
  <si>
    <t>Вводится с   1 января    2013 года</t>
  </si>
  <si>
    <t>Рошак А.Л.</t>
  </si>
  <si>
    <t>И.о.директора Центра повышения квалификации</t>
  </si>
  <si>
    <t>_______________________Е.Ч.Бабич</t>
  </si>
  <si>
    <t>" ___ " ___________________ 2013 г.</t>
  </si>
  <si>
    <t>Стоимость материалов с НДС, рублей</t>
  </si>
  <si>
    <t>Инструментальная обработка одного плохо проходимого канала</t>
  </si>
  <si>
    <t>Лечебная внутриканальная повязка одного канала</t>
  </si>
  <si>
    <t>Извлечение инородного тела из одного канала</t>
  </si>
  <si>
    <t>Извлечение штифта, культевой вкладки из одного канала</t>
  </si>
  <si>
    <t xml:space="preserve">Восстановление коронковой части зуба с применением парапульпарного штифта </t>
  </si>
  <si>
    <t>Восстановление коронковой части зуба с применением стекловолоконного, углеволоконного штифта в одном канале (без стоимости пломбы)</t>
  </si>
  <si>
    <t>Восстановление коронковой части зуба с применением анкера (интрапульпарного штифта) в одном канале</t>
  </si>
  <si>
    <t>Восстановление угла коронковой части зуба при отломе (без стоимости пломбы)</t>
  </si>
  <si>
    <t>Восстановление угла коронковой части зуба при лечении кариеса и пульпита (без стоимости пломбы)</t>
  </si>
  <si>
    <t>Герметизация пломбы</t>
  </si>
  <si>
    <t>Полирование одного зуба после снятия зубных отложений</t>
  </si>
  <si>
    <t>Удаление зубных отложений ультразвуковым скейлером с одного зуба</t>
  </si>
  <si>
    <t>Стоимость материалов, без НДС, рублей</t>
  </si>
  <si>
    <t>Стоимость услуги с учетом материалов и НДС, рублей</t>
  </si>
  <si>
    <t>Ретракция десны одного зуба</t>
  </si>
  <si>
    <t>Прочие общие стоматологические мероприятия</t>
  </si>
  <si>
    <t>2.4.16.</t>
  </si>
  <si>
    <t>2.4.15.</t>
  </si>
  <si>
    <t>Эндодонтическое лечение одного зуба  при пульпите и апикальном периодонтите:</t>
  </si>
  <si>
    <t>Стоматологическое обследование при первичном обращении</t>
  </si>
  <si>
    <t xml:space="preserve">Применение изделий и средств медицинского назначения, используемых при каждом посещении пациента на всех видах стоматологического лечения </t>
  </si>
  <si>
    <t>Мотивация по факторам риска стоматологических заболеваний, обучение пациента чистке зубов</t>
  </si>
  <si>
    <t xml:space="preserve">Покрытие одного зуба фторсодержащим или герметизирующим  препаратом </t>
  </si>
  <si>
    <t xml:space="preserve">Покрытие последующего зуба фторсодержащим или герметизирующим  препаратом </t>
  </si>
  <si>
    <t>Контроль гигиены с применением специальных индексов в области ключевых зубов</t>
  </si>
  <si>
    <t xml:space="preserve">Удаление зубного налета с одного зуба, очистка зуба </t>
  </si>
  <si>
    <t>Инструментальное удаление зубных отложений  с одного зуба (ручным инструментом)</t>
  </si>
  <si>
    <t>Временная пломба</t>
  </si>
  <si>
    <t>Удаление одной прочнофиксированной пломбы</t>
  </si>
  <si>
    <t xml:space="preserve">Удаление одной дефектной пломбы </t>
  </si>
  <si>
    <t>Инфильтрационная  анестезия</t>
  </si>
  <si>
    <t>Проводниковая  анестезия</t>
  </si>
  <si>
    <t>Препарирование твердых тканей одного зуба при лечении кариеса  I, II, III, IV, V классов по Блэку и некариозных заболеваний, возникших после прорезывания зубов с локализацией полостей независимо от поверхности:</t>
  </si>
  <si>
    <t>Минимальное инвазивное препарирование кариозной полости</t>
  </si>
  <si>
    <t>Препарирование кариозной полости при разрушении до 1/3 коронки зуба</t>
  </si>
  <si>
    <t>Препарирование кариозной полости  при разрушении до 1/2 коронки зуба</t>
  </si>
  <si>
    <t>Препарирование кариозной полости  при разрушении более 1/2 коронки зуба</t>
  </si>
  <si>
    <t>Изготовление изолирующей прокладки  из стеклоиономерного цемента химического отверждения</t>
  </si>
  <si>
    <t>Препарирование кариозной полости и полости однокорневого зуба</t>
  </si>
  <si>
    <t>Препарирование кариозной полости и полости многокорневого зуба</t>
  </si>
  <si>
    <t>Наложение девитализирующей пасты</t>
  </si>
  <si>
    <t>Ампутация пульпы</t>
  </si>
  <si>
    <t>Инструментальная обработка одного хорошо проходимого канала</t>
  </si>
  <si>
    <t xml:space="preserve">Реставрация коронковой части одного зуба  фотополимерным композиционным материалом при лечении кариозной полости I - V классов по Блэку с локализацией полостей независимо от поверхности: </t>
  </si>
  <si>
    <t>При минимальном инвазивном препарировании кариозной полости</t>
  </si>
  <si>
    <t>При разрушении до 1/3 коронки зуба</t>
  </si>
  <si>
    <t>При разрушении до 1/2 коронки зуба</t>
  </si>
  <si>
    <t>При разрушении более 1/2 коронки зуба</t>
  </si>
  <si>
    <t>Реставрация коронковой части одного зуба  стеклоиономерным цементом  химического отверждения при лечении кариозной полости I - V классов по Блэку с локализацией полостей независимо от поверхности:</t>
  </si>
  <si>
    <t>Виниринговое (прямое) покрытие коронковой части зуба (без стоимости пломбы)</t>
  </si>
  <si>
    <t>Шлифовка, полировка пломбы из стеклоиономерного цемента</t>
  </si>
  <si>
    <t>манипуляция (ГРАДИЯ)</t>
  </si>
  <si>
    <t>манипуляция (G-AENIAL)</t>
  </si>
  <si>
    <t>манипуляция (ВИТРЕМЕР)</t>
  </si>
  <si>
    <t>манипуляция (Ketac Molar)</t>
  </si>
  <si>
    <t>Остановка кровотечения</t>
  </si>
  <si>
    <t>по оказанию стоматологической помощи, осуществляемой
для работников организаций Министерства лесного хозяйства</t>
  </si>
  <si>
    <t>манипуляция (ФИЛТЕК)</t>
  </si>
  <si>
    <t>манипуляция (ФИЛТЕК))</t>
  </si>
  <si>
    <t>манипуляция (КАРИЗМА)</t>
  </si>
  <si>
    <t>Вводится в действие с 01.03.2022</t>
  </si>
  <si>
    <t>для работников организаций Министерства лесного хозяйства</t>
  </si>
  <si>
    <t>манипуляция (ГРАДИЯ ФЛО)</t>
  </si>
  <si>
    <t>манипуляция (ФИЛТЕК ФЛО)</t>
  </si>
  <si>
    <t>изготовление изолирующей фотоотверждаемой (композит, компомер, флоу) прокладки</t>
  </si>
  <si>
    <t>2.2.</t>
  </si>
  <si>
    <t>2.2.1.</t>
  </si>
  <si>
    <t>2.2.2.</t>
  </si>
  <si>
    <t>2.2.3.</t>
  </si>
  <si>
    <t>2.2.4.</t>
  </si>
  <si>
    <t>изготовление кальцийсодержащей лечебной прокладки</t>
  </si>
  <si>
    <t>манипуляция (триоксидент)</t>
  </si>
  <si>
    <t xml:space="preserve"> 1.1.1.</t>
  </si>
  <si>
    <t>1.1.1.1.</t>
  </si>
  <si>
    <t xml:space="preserve"> 1.2.1.</t>
  </si>
  <si>
    <t>1.2.3.</t>
  </si>
  <si>
    <t>1.2.2.</t>
  </si>
  <si>
    <t>1.2.4.</t>
  </si>
  <si>
    <t>1.2.6.</t>
  </si>
  <si>
    <t>1.2.7.</t>
  </si>
  <si>
    <t>1.2.9.</t>
  </si>
  <si>
    <t>1.4.1.</t>
  </si>
  <si>
    <t>1.2.13.</t>
  </si>
  <si>
    <t>1.4.2.</t>
  </si>
  <si>
    <t>1.4.3.</t>
  </si>
  <si>
    <t>1.3.2.</t>
  </si>
  <si>
    <t>1.3.3.</t>
  </si>
  <si>
    <t>2.3.5.</t>
  </si>
  <si>
    <t>2.3.3.1</t>
  </si>
  <si>
    <t>2.3.3.2.</t>
  </si>
  <si>
    <t>2.3.3.3</t>
  </si>
  <si>
    <t>2.3.2.</t>
  </si>
  <si>
    <t>2.4.1.</t>
  </si>
  <si>
    <t>2.4.2.</t>
  </si>
  <si>
    <t>2.4.3.</t>
  </si>
  <si>
    <t>2.4.8.</t>
  </si>
  <si>
    <t>2.4.9.</t>
  </si>
  <si>
    <t>2.4.4.</t>
  </si>
  <si>
    <t>2.4.5.</t>
  </si>
  <si>
    <t>2.4.21.</t>
  </si>
  <si>
    <t>2.4.10.</t>
  </si>
  <si>
    <t>2.4.11.</t>
  </si>
  <si>
    <t>2.4.17.</t>
  </si>
  <si>
    <t>2.4.18.</t>
  </si>
  <si>
    <t>2.4.19.</t>
  </si>
  <si>
    <t>2.5.5.1.</t>
  </si>
  <si>
    <t>2.5.6.1.</t>
  </si>
  <si>
    <t>2.5.7.1.</t>
  </si>
  <si>
    <t>2.5.8.1.</t>
  </si>
  <si>
    <t>2.5.5.2.</t>
  </si>
  <si>
    <t>2.5.6.2.</t>
  </si>
  <si>
    <t>2.5.7.2.</t>
  </si>
  <si>
    <t>2.5.8.2.</t>
  </si>
  <si>
    <t>2.5.5.3.</t>
  </si>
  <si>
    <t>2.5.6.3.</t>
  </si>
  <si>
    <t>2.5.7.3.</t>
  </si>
  <si>
    <t>2.5.8.3.</t>
  </si>
  <si>
    <t>2.5.5.4.</t>
  </si>
  <si>
    <t>2.5.6.4.</t>
  </si>
  <si>
    <t>2.5.7.4.</t>
  </si>
  <si>
    <t>2.5.8.4.</t>
  </si>
  <si>
    <t>2.5.5.5.</t>
  </si>
  <si>
    <t>2.5.6.5.</t>
  </si>
  <si>
    <t>2.5.7.5.</t>
  </si>
  <si>
    <t>2.5.8.5.</t>
  </si>
  <si>
    <t>2.5.16.</t>
  </si>
  <si>
    <t>2.5.23.</t>
  </si>
  <si>
    <t>2.5.28.</t>
  </si>
  <si>
    <t>2.5.32.</t>
  </si>
  <si>
    <t>2.5.33.</t>
  </si>
  <si>
    <t>2.5.34.</t>
  </si>
  <si>
    <t>2.5.20.</t>
  </si>
  <si>
    <t>2.5.22.</t>
  </si>
  <si>
    <t>2.5.24.</t>
  </si>
  <si>
    <t>2.5.25.</t>
  </si>
  <si>
    <t>2.5.36.</t>
  </si>
  <si>
    <t>2.5.21.</t>
  </si>
  <si>
    <t>1.4.8.</t>
  </si>
  <si>
    <t>3.1.23.</t>
  </si>
  <si>
    <t>Шлифовка, полировка пломбы из композиционного материала химического отверждения</t>
  </si>
  <si>
    <t>Шлифовка, полировка пломбы из фотоотверждаемого композиционного материала</t>
  </si>
  <si>
    <t>2.5.5.</t>
  </si>
  <si>
    <t>2.5.18.</t>
  </si>
  <si>
    <t>2.5.17.</t>
  </si>
  <si>
    <t>2.5.19</t>
  </si>
  <si>
    <t>для граждан Республики Беларусь</t>
  </si>
  <si>
    <t>для иностранных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</si>
</sst>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_-* #,##0.000_р_._-;\-* #,##0.000_р_._-;_-* &quot;-&quot;???_р_._-;_-@_-"/>
    <numFmt numFmtId="167" formatCode="_-* #,##0.0_р_._-;\-* #,##0.0_р_._-;_-* &quot;-&quot;???_р_._-;_-@_-"/>
    <numFmt numFmtId="168" formatCode="0.0%"/>
    <numFmt numFmtId="169" formatCode="0.000"/>
    <numFmt numFmtId="170" formatCode="_-* #,##0_р_._-;\-* #,##0_р_._-;_-* &quot;-&quot;_р_._-;_-@_-"/>
    <numFmt numFmtId="171" formatCode="_-* #,##0.00_р_._-;\-* #,##0.00_р_._-;_-* &quot;-&quot;??_р_._-;_-@_-"/>
  </numFmts>
  <fonts count="4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3">
    <xf numFmtId="0" fontId="0" fillId="0" borderId="0"/>
    <xf numFmtId="9" fontId="4" fillId="0" borderId="0" applyFont="0" applyFill="0" applyBorder="0" applyAlignment="0" applyProtection="0"/>
    <xf numFmtId="0" fontId="20" fillId="0" borderId="0"/>
    <xf numFmtId="0" fontId="20" fillId="0" borderId="0"/>
    <xf numFmtId="0" fontId="3" fillId="0" borderId="0"/>
    <xf numFmtId="0" fontId="4" fillId="0" borderId="0"/>
    <xf numFmtId="0" fontId="3" fillId="0" borderId="0"/>
    <xf numFmtId="0" fontId="21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11" applyNumberFormat="0" applyAlignment="0" applyProtection="0"/>
    <xf numFmtId="0" fontId="27" fillId="22" borderId="12" applyNumberFormat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11" applyNumberFormat="0" applyAlignment="0" applyProtection="0"/>
    <xf numFmtId="0" fontId="34" fillId="0" borderId="16" applyNumberFormat="0" applyFill="0" applyAlignment="0" applyProtection="0"/>
    <xf numFmtId="0" fontId="35" fillId="23" borderId="0" applyNumberFormat="0" applyBorder="0" applyAlignment="0" applyProtection="0"/>
    <xf numFmtId="0" fontId="21" fillId="24" borderId="17" applyNumberFormat="0" applyFont="0" applyAlignment="0" applyProtection="0"/>
    <xf numFmtId="0" fontId="36" fillId="21" borderId="18" applyNumberFormat="0" applyAlignment="0" applyProtection="0"/>
    <xf numFmtId="0" fontId="37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 horizontal="justify"/>
    </xf>
    <xf numFmtId="49" fontId="40" fillId="0" borderId="1">
      <alignment horizontal="left"/>
    </xf>
    <xf numFmtId="49" fontId="40" fillId="0" borderId="1">
      <alignment horizontal="center"/>
    </xf>
    <xf numFmtId="0" fontId="41" fillId="0" borderId="0">
      <alignment horizontal="center" vertical="top" wrapText="1"/>
    </xf>
    <xf numFmtId="0" fontId="42" fillId="0" borderId="1">
      <alignment horizontal="center" vertical="center" wrapText="1"/>
    </xf>
    <xf numFmtId="0" fontId="43" fillId="0" borderId="0">
      <alignment horizontal="right" vertical="top"/>
    </xf>
    <xf numFmtId="17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>
      <alignment horizontal="left"/>
    </xf>
    <xf numFmtId="49" fontId="45" fillId="0" borderId="0">
      <alignment horizontal="center" vertical="top"/>
    </xf>
    <xf numFmtId="0" fontId="40" fillId="0" borderId="5">
      <alignment horizontal="center"/>
    </xf>
    <xf numFmtId="0" fontId="43" fillId="0" borderId="0">
      <alignment horizontal="right" vertical="top" wrapText="1"/>
    </xf>
    <xf numFmtId="0" fontId="21" fillId="24" borderId="17" applyNumberFormat="0" applyFont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0" fillId="0" borderId="1">
      <alignment horizontal="left" wrapText="1"/>
    </xf>
    <xf numFmtId="0" fontId="40" fillId="0" borderId="1">
      <alignment horizontal="center"/>
    </xf>
    <xf numFmtId="0" fontId="43" fillId="0" borderId="0">
      <alignment horizontal="justify"/>
    </xf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</cellStyleXfs>
  <cellXfs count="170">
    <xf numFmtId="0" fontId="0" fillId="0" borderId="0" xfId="0"/>
    <xf numFmtId="0" fontId="9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7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6" fontId="9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0" fontId="8" fillId="0" borderId="0" xfId="0" applyFont="1"/>
    <xf numFmtId="16" fontId="9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7" fontId="9" fillId="0" borderId="1" xfId="0" applyNumberFormat="1" applyFont="1" applyBorder="1" applyAlignment="1">
      <alignment wrapText="1"/>
    </xf>
    <xf numFmtId="168" fontId="0" fillId="0" borderId="0" xfId="0" applyNumberFormat="1" applyAlignment="1">
      <alignment horizontal="right"/>
    </xf>
    <xf numFmtId="0" fontId="15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1" fontId="16" fillId="0" borderId="0" xfId="0" applyNumberFormat="1" applyFont="1" applyFill="1"/>
    <xf numFmtId="0" fontId="15" fillId="0" borderId="1" xfId="0" applyFont="1" applyFill="1" applyBorder="1"/>
    <xf numFmtId="0" fontId="16" fillId="0" borderId="1" xfId="0" applyFont="1" applyFill="1" applyBorder="1"/>
    <xf numFmtId="0" fontId="16" fillId="0" borderId="0" xfId="0" applyFont="1"/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vertical="justify"/>
    </xf>
    <xf numFmtId="9" fontId="15" fillId="0" borderId="1" xfId="1" applyFont="1" applyFill="1" applyBorder="1"/>
    <xf numFmtId="0" fontId="16" fillId="0" borderId="0" xfId="0" applyFont="1" applyFill="1" applyAlignment="1">
      <alignment horizontal="right"/>
    </xf>
    <xf numFmtId="9" fontId="15" fillId="0" borderId="1" xfId="0" applyNumberFormat="1" applyFont="1" applyFill="1" applyBorder="1"/>
    <xf numFmtId="0" fontId="16" fillId="0" borderId="0" xfId="0" applyFont="1" applyFill="1" applyAlignment="1"/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15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/>
    <xf numFmtId="169" fontId="18" fillId="0" borderId="1" xfId="0" applyNumberFormat="1" applyFont="1" applyFill="1" applyBorder="1"/>
    <xf numFmtId="3" fontId="19" fillId="0" borderId="1" xfId="0" applyNumberFormat="1" applyFont="1" applyFill="1" applyBorder="1"/>
    <xf numFmtId="9" fontId="18" fillId="0" borderId="1" xfId="0" applyNumberFormat="1" applyFont="1" applyFill="1" applyBorder="1"/>
    <xf numFmtId="3" fontId="18" fillId="0" borderId="1" xfId="0" applyNumberFormat="1" applyFont="1" applyFill="1" applyBorder="1"/>
    <xf numFmtId="1" fontId="18" fillId="0" borderId="1" xfId="0" applyNumberFormat="1" applyFont="1" applyFill="1" applyBorder="1"/>
    <xf numFmtId="9" fontId="18" fillId="0" borderId="1" xfId="1" applyFont="1" applyFill="1" applyBorder="1"/>
    <xf numFmtId="3" fontId="19" fillId="0" borderId="1" xfId="0" applyNumberFormat="1" applyFont="1" applyFill="1" applyBorder="1" applyAlignment="1">
      <alignment horizontal="center" vertical="center"/>
    </xf>
    <xf numFmtId="1" fontId="18" fillId="0" borderId="0" xfId="0" applyNumberFormat="1" applyFont="1" applyFill="1"/>
    <xf numFmtId="3" fontId="18" fillId="0" borderId="0" xfId="0" applyNumberFormat="1" applyFont="1" applyFill="1"/>
    <xf numFmtId="0" fontId="18" fillId="0" borderId="0" xfId="0" applyFont="1" applyFill="1"/>
    <xf numFmtId="0" fontId="18" fillId="0" borderId="0" xfId="0" applyFont="1"/>
    <xf numFmtId="3" fontId="15" fillId="0" borderId="1" xfId="0" applyNumberFormat="1" applyFont="1" applyFill="1" applyBorder="1"/>
    <xf numFmtId="9" fontId="16" fillId="0" borderId="1" xfId="0" applyNumberFormat="1" applyFont="1" applyFill="1" applyBorder="1"/>
    <xf numFmtId="3" fontId="16" fillId="0" borderId="1" xfId="0" applyNumberFormat="1" applyFont="1" applyFill="1" applyBorder="1"/>
    <xf numFmtId="9" fontId="16" fillId="0" borderId="1" xfId="1" applyFont="1" applyFill="1" applyBorder="1"/>
    <xf numFmtId="3" fontId="15" fillId="0" borderId="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1" fontId="16" fillId="0" borderId="1" xfId="0" applyNumberFormat="1" applyFont="1" applyFill="1" applyBorder="1"/>
    <xf numFmtId="1" fontId="15" fillId="0" borderId="0" xfId="0" applyNumberFormat="1" applyFont="1" applyFill="1"/>
    <xf numFmtId="3" fontId="15" fillId="0" borderId="0" xfId="0" applyNumberFormat="1" applyFont="1" applyFill="1"/>
    <xf numFmtId="9" fontId="16" fillId="2" borderId="1" xfId="0" applyNumberFormat="1" applyFont="1" applyFill="1" applyBorder="1"/>
    <xf numFmtId="2" fontId="18" fillId="0" borderId="1" xfId="0" applyNumberFormat="1" applyFont="1" applyFill="1" applyBorder="1"/>
    <xf numFmtId="2" fontId="16" fillId="0" borderId="1" xfId="0" applyNumberFormat="1" applyFont="1" applyFill="1" applyBorder="1"/>
    <xf numFmtId="169" fontId="16" fillId="0" borderId="1" xfId="0" applyNumberFormat="1" applyFont="1" applyFill="1" applyBorder="1"/>
    <xf numFmtId="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/>
    </xf>
    <xf numFmtId="4" fontId="6" fillId="0" borderId="1" xfId="3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9" fontId="6" fillId="0" borderId="0" xfId="2" applyNumberFormat="1" applyFont="1" applyFill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6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justify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1" xfId="110" applyFont="1" applyFill="1" applyBorder="1" applyAlignment="1">
      <alignment vertical="top" wrapText="1"/>
    </xf>
    <xf numFmtId="0" fontId="5" fillId="0" borderId="5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left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49" fontId="6" fillId="0" borderId="0" xfId="2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7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0" fontId="16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" fillId="0" borderId="0" xfId="270" applyFont="1" applyFill="1" applyAlignment="1">
      <alignment horizontal="center" vertical="center"/>
    </xf>
    <xf numFmtId="0" fontId="8" fillId="0" borderId="0" xfId="270" applyFont="1" applyFill="1" applyAlignment="1">
      <alignment vertical="center"/>
    </xf>
    <xf numFmtId="0" fontId="5" fillId="0" borderId="0" xfId="270" applyFont="1" applyFill="1" applyAlignment="1">
      <alignment horizontal="center" vertical="center" wrapText="1"/>
    </xf>
    <xf numFmtId="0" fontId="5" fillId="0" borderId="0" xfId="270" applyFont="1" applyFill="1" applyBorder="1" applyAlignment="1">
      <alignment horizontal="center" vertical="center"/>
    </xf>
    <xf numFmtId="49" fontId="6" fillId="0" borderId="0" xfId="270" applyNumberFormat="1" applyFont="1" applyFill="1" applyBorder="1" applyAlignment="1">
      <alignment horizontal="center" vertical="center"/>
    </xf>
    <xf numFmtId="0" fontId="6" fillId="0" borderId="0" xfId="270" applyFont="1" applyFill="1" applyBorder="1" applyAlignment="1">
      <alignment horizontal="center" vertical="center"/>
    </xf>
    <xf numFmtId="0" fontId="6" fillId="0" borderId="0" xfId="270" applyFont="1" applyFill="1" applyAlignment="1">
      <alignment vertical="center"/>
    </xf>
    <xf numFmtId="0" fontId="5" fillId="0" borderId="5" xfId="270" applyFont="1" applyFill="1" applyBorder="1" applyAlignment="1">
      <alignment vertical="center"/>
    </xf>
    <xf numFmtId="0" fontId="5" fillId="0" borderId="5" xfId="270" applyFont="1" applyFill="1" applyBorder="1" applyAlignment="1">
      <alignment horizontal="right" vertical="center"/>
    </xf>
    <xf numFmtId="49" fontId="6" fillId="0" borderId="4" xfId="270" applyNumberFormat="1" applyFont="1" applyFill="1" applyBorder="1" applyAlignment="1">
      <alignment horizontal="center" vertical="center" wrapText="1"/>
    </xf>
    <xf numFmtId="0" fontId="6" fillId="0" borderId="4" xfId="270" applyFont="1" applyFill="1" applyBorder="1" applyAlignment="1">
      <alignment horizontal="center" vertical="center" wrapText="1"/>
    </xf>
    <xf numFmtId="49" fontId="6" fillId="0" borderId="9" xfId="270" applyNumberFormat="1" applyFont="1" applyFill="1" applyBorder="1" applyAlignment="1">
      <alignment horizontal="center" vertical="center" wrapText="1"/>
    </xf>
    <xf numFmtId="0" fontId="6" fillId="0" borderId="9" xfId="270" applyFont="1" applyFill="1" applyBorder="1" applyAlignment="1">
      <alignment horizontal="center" vertical="center" wrapText="1"/>
    </xf>
    <xf numFmtId="49" fontId="5" fillId="0" borderId="1" xfId="270" applyNumberFormat="1" applyFont="1" applyFill="1" applyBorder="1" applyAlignment="1">
      <alignment horizontal="center" vertical="center" wrapText="1"/>
    </xf>
    <xf numFmtId="0" fontId="5" fillId="0" borderId="6" xfId="270" applyFont="1" applyFill="1" applyBorder="1" applyAlignment="1">
      <alignment horizontal="center" vertical="center" wrapText="1"/>
    </xf>
    <xf numFmtId="0" fontId="5" fillId="0" borderId="3" xfId="270" applyFont="1" applyFill="1" applyBorder="1" applyAlignment="1">
      <alignment horizontal="center" vertical="center" wrapText="1"/>
    </xf>
    <xf numFmtId="49" fontId="6" fillId="0" borderId="1" xfId="270" applyNumberFormat="1" applyFont="1" applyFill="1" applyBorder="1" applyAlignment="1">
      <alignment horizontal="center" vertical="center" wrapText="1"/>
    </xf>
    <xf numFmtId="0" fontId="6" fillId="0" borderId="1" xfId="270" applyFont="1" applyFill="1" applyBorder="1" applyAlignment="1">
      <alignment horizontal="center" vertical="center" wrapText="1"/>
    </xf>
    <xf numFmtId="3" fontId="6" fillId="0" borderId="1" xfId="270" applyNumberFormat="1" applyFont="1" applyFill="1" applyBorder="1" applyAlignment="1">
      <alignment horizontal="center" vertical="center"/>
    </xf>
    <xf numFmtId="4" fontId="6" fillId="0" borderId="1" xfId="270" applyNumberFormat="1" applyFont="1" applyFill="1" applyBorder="1" applyAlignment="1">
      <alignment horizontal="center" vertical="center"/>
    </xf>
    <xf numFmtId="0" fontId="6" fillId="0" borderId="1" xfId="270" applyFont="1" applyFill="1" applyBorder="1" applyAlignment="1">
      <alignment horizontal="justify" vertical="center" wrapText="1"/>
    </xf>
    <xf numFmtId="0" fontId="6" fillId="0" borderId="6" xfId="270" applyFont="1" applyFill="1" applyBorder="1" applyAlignment="1">
      <alignment horizontal="left" vertical="center" wrapText="1"/>
    </xf>
    <xf numFmtId="0" fontId="6" fillId="0" borderId="3" xfId="270" applyFont="1" applyFill="1" applyBorder="1" applyAlignment="1">
      <alignment horizontal="left" vertical="center" wrapText="1"/>
    </xf>
    <xf numFmtId="0" fontId="6" fillId="0" borderId="2" xfId="270" applyFont="1" applyFill="1" applyBorder="1" applyAlignment="1">
      <alignment horizontal="left" vertical="center" wrapText="1"/>
    </xf>
    <xf numFmtId="49" fontId="6" fillId="0" borderId="4" xfId="270" applyNumberFormat="1" applyFont="1" applyFill="1" applyBorder="1" applyAlignment="1">
      <alignment horizontal="center" vertical="center" wrapText="1"/>
    </xf>
    <xf numFmtId="0" fontId="6" fillId="0" borderId="4" xfId="270" applyFont="1" applyFill="1" applyBorder="1" applyAlignment="1">
      <alignment horizontal="left" vertical="center" wrapText="1"/>
    </xf>
    <xf numFmtId="4" fontId="6" fillId="0" borderId="1" xfId="110" applyNumberFormat="1" applyFont="1" applyFill="1" applyBorder="1" applyAlignment="1">
      <alignment horizontal="center" vertical="center"/>
    </xf>
    <xf numFmtId="0" fontId="6" fillId="0" borderId="1" xfId="270" applyFont="1" applyFill="1" applyBorder="1" applyAlignment="1">
      <alignment horizontal="left" vertical="center" wrapText="1"/>
    </xf>
    <xf numFmtId="0" fontId="6" fillId="0" borderId="1" xfId="272" applyFont="1" applyFill="1" applyBorder="1" applyAlignment="1">
      <alignment vertical="center" wrapText="1"/>
    </xf>
    <xf numFmtId="0" fontId="6" fillId="0" borderId="4" xfId="270" applyFont="1" applyFill="1" applyBorder="1" applyAlignment="1">
      <alignment vertical="center" wrapText="1"/>
    </xf>
    <xf numFmtId="49" fontId="6" fillId="0" borderId="0" xfId="270" applyNumberFormat="1" applyFont="1" applyFill="1"/>
    <xf numFmtId="0" fontId="6" fillId="0" borderId="0" xfId="270" applyFont="1" applyFill="1"/>
    <xf numFmtId="0" fontId="8" fillId="0" borderId="0" xfId="270" applyFont="1" applyFill="1"/>
    <xf numFmtId="0" fontId="6" fillId="0" borderId="0" xfId="270" applyFont="1" applyFill="1" applyAlignment="1">
      <alignment horizontal="left"/>
    </xf>
  </cellXfs>
  <cellStyles count="273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Абзац" xfId="49"/>
    <cellStyle name="Блок" xfId="50"/>
    <cellStyle name="Дата" xfId="51"/>
    <cellStyle name="ЗаголовокБланка" xfId="52"/>
    <cellStyle name="ЗаголовокТаблицы" xfId="53"/>
    <cellStyle name="ЗвездочкаСноски" xfId="54"/>
    <cellStyle name="мой" xfId="55"/>
    <cellStyle name="Обычный" xfId="0" builtinId="0"/>
    <cellStyle name="Обычный 10" xfId="56"/>
    <cellStyle name="Обычный 10 10" xfId="57"/>
    <cellStyle name="Обычный 10 11" xfId="58"/>
    <cellStyle name="Обычный 10 12" xfId="59"/>
    <cellStyle name="Обычный 10 13" xfId="60"/>
    <cellStyle name="Обычный 10 14" xfId="61"/>
    <cellStyle name="Обычный 10 15" xfId="62"/>
    <cellStyle name="Обычный 10 2" xfId="63"/>
    <cellStyle name="Обычный 10 3" xfId="64"/>
    <cellStyle name="Обычный 10 4" xfId="65"/>
    <cellStyle name="Обычный 10 5" xfId="66"/>
    <cellStyle name="Обычный 10 6" xfId="67"/>
    <cellStyle name="Обычный 10 7" xfId="68"/>
    <cellStyle name="Обычный 10 8" xfId="69"/>
    <cellStyle name="Обычный 10 9" xfId="70"/>
    <cellStyle name="Обычный 101" xfId="71"/>
    <cellStyle name="Обычный 101 2" xfId="72"/>
    <cellStyle name="Обычный 11" xfId="73"/>
    <cellStyle name="Обычный 12" xfId="74"/>
    <cellStyle name="Обычный 12 10" xfId="75"/>
    <cellStyle name="Обычный 12 11" xfId="76"/>
    <cellStyle name="Обычный 12 12" xfId="77"/>
    <cellStyle name="Обычный 12 13" xfId="78"/>
    <cellStyle name="Обычный 12 14" xfId="79"/>
    <cellStyle name="Обычный 12 15" xfId="80"/>
    <cellStyle name="Обычный 12 2" xfId="81"/>
    <cellStyle name="Обычный 12 3" xfId="82"/>
    <cellStyle name="Обычный 12 4" xfId="83"/>
    <cellStyle name="Обычный 12 5" xfId="84"/>
    <cellStyle name="Обычный 12 6" xfId="85"/>
    <cellStyle name="Обычный 12 7" xfId="86"/>
    <cellStyle name="Обычный 12 8" xfId="87"/>
    <cellStyle name="Обычный 12 9" xfId="88"/>
    <cellStyle name="Обычный 13" xfId="89"/>
    <cellStyle name="Обычный 13 10" xfId="90"/>
    <cellStyle name="Обычный 13 11" xfId="91"/>
    <cellStyle name="Обычный 13 12" xfId="92"/>
    <cellStyle name="Обычный 13 13" xfId="93"/>
    <cellStyle name="Обычный 13 14" xfId="94"/>
    <cellStyle name="Обычный 13 15" xfId="95"/>
    <cellStyle name="Обычный 13 2" xfId="96"/>
    <cellStyle name="Обычный 13 3" xfId="97"/>
    <cellStyle name="Обычный 13 4" xfId="98"/>
    <cellStyle name="Обычный 13 5" xfId="99"/>
    <cellStyle name="Обычный 13 6" xfId="100"/>
    <cellStyle name="Обычный 13 7" xfId="101"/>
    <cellStyle name="Обычный 13 8" xfId="102"/>
    <cellStyle name="Обычный 13 9" xfId="103"/>
    <cellStyle name="Обычный 14" xfId="104"/>
    <cellStyle name="Обычный 15" xfId="105"/>
    <cellStyle name="Обычный 16" xfId="106"/>
    <cellStyle name="Обычный 17" xfId="107"/>
    <cellStyle name="Обычный 18" xfId="108"/>
    <cellStyle name="Обычный 19" xfId="109"/>
    <cellStyle name="Обычный 2" xfId="3"/>
    <cellStyle name="Обычный 2 10" xfId="110"/>
    <cellStyle name="Обычный 2 11" xfId="111"/>
    <cellStyle name="Обычный 2 12" xfId="112"/>
    <cellStyle name="Обычный 2 13" xfId="113"/>
    <cellStyle name="Обычный 2 14" xfId="114"/>
    <cellStyle name="Обычный 2 15" xfId="115"/>
    <cellStyle name="Обычный 2 16" xfId="6"/>
    <cellStyle name="Обычный 2 2" xfId="5"/>
    <cellStyle name="Обычный 2 3" xfId="116"/>
    <cellStyle name="Обычный 2 4" xfId="117"/>
    <cellStyle name="Обычный 2 5" xfId="118"/>
    <cellStyle name="Обычный 2 6" xfId="119"/>
    <cellStyle name="Обычный 2 7" xfId="120"/>
    <cellStyle name="Обычный 2 8" xfId="121"/>
    <cellStyle name="Обычный 2 9" xfId="122"/>
    <cellStyle name="Обычный 2_Гродно таблицы бизнес-плана для распечатки" xfId="123"/>
    <cellStyle name="Обычный 20" xfId="124"/>
    <cellStyle name="Обычный 21" xfId="125"/>
    <cellStyle name="Обычный 22" xfId="126"/>
    <cellStyle name="Обычный 23" xfId="127"/>
    <cellStyle name="Обычный 24" xfId="128"/>
    <cellStyle name="Обычный 25" xfId="129"/>
    <cellStyle name="Обычный 26" xfId="130"/>
    <cellStyle name="Обычный 27" xfId="131"/>
    <cellStyle name="Обычный 28" xfId="132"/>
    <cellStyle name="Обычный 29" xfId="133"/>
    <cellStyle name="Обычный 3" xfId="4"/>
    <cellStyle name="Обычный 3 10" xfId="135"/>
    <cellStyle name="Обычный 3 11" xfId="136"/>
    <cellStyle name="Обычный 3 12" xfId="137"/>
    <cellStyle name="Обычный 3 13" xfId="138"/>
    <cellStyle name="Обычный 3 14" xfId="139"/>
    <cellStyle name="Обычный 3 15" xfId="140"/>
    <cellStyle name="Обычный 3 16" xfId="134"/>
    <cellStyle name="Обычный 3 17" xfId="272"/>
    <cellStyle name="Обычный 3 2" xfId="141"/>
    <cellStyle name="Обычный 3 3" xfId="142"/>
    <cellStyle name="Обычный 3 4" xfId="143"/>
    <cellStyle name="Обычный 3 5" xfId="144"/>
    <cellStyle name="Обычный 3 6" xfId="145"/>
    <cellStyle name="Обычный 3 7" xfId="146"/>
    <cellStyle name="Обычный 3 8" xfId="147"/>
    <cellStyle name="Обычный 3 9" xfId="148"/>
    <cellStyle name="Обычный 30" xfId="149"/>
    <cellStyle name="Обычный 31" xfId="150"/>
    <cellStyle name="Обычный 31 2" xfId="151"/>
    <cellStyle name="Обычный 32" xfId="152"/>
    <cellStyle name="Обычный 32 2" xfId="153"/>
    <cellStyle name="Обычный 32_План  2017 учебная март" xfId="154"/>
    <cellStyle name="Обычный 33" xfId="155"/>
    <cellStyle name="Обычный 33 2" xfId="156"/>
    <cellStyle name="Обычный 33_План  2017 учебная март" xfId="157"/>
    <cellStyle name="Обычный 34" xfId="158"/>
    <cellStyle name="Обычный 34 2" xfId="159"/>
    <cellStyle name="Обычный 34_План  2017 учебная март" xfId="160"/>
    <cellStyle name="Обычный 35" xfId="161"/>
    <cellStyle name="Обычный 35 2" xfId="162"/>
    <cellStyle name="Обычный 35_План  2017 учебная март" xfId="163"/>
    <cellStyle name="Обычный 36" xfId="7"/>
    <cellStyle name="Обычный 37" xfId="271"/>
    <cellStyle name="Обычный 4" xfId="164"/>
    <cellStyle name="Обычный 4 10" xfId="165"/>
    <cellStyle name="Обычный 4 11" xfId="166"/>
    <cellStyle name="Обычный 4 12" xfId="167"/>
    <cellStyle name="Обычный 4 13" xfId="168"/>
    <cellStyle name="Обычный 4 14" xfId="169"/>
    <cellStyle name="Обычный 4 15" xfId="170"/>
    <cellStyle name="Обычный 4 2" xfId="171"/>
    <cellStyle name="Обычный 4 3" xfId="172"/>
    <cellStyle name="Обычный 4 4" xfId="173"/>
    <cellStyle name="Обычный 4 5" xfId="174"/>
    <cellStyle name="Обычный 4 6" xfId="175"/>
    <cellStyle name="Обычный 4 7" xfId="176"/>
    <cellStyle name="Обычный 4 8" xfId="177"/>
    <cellStyle name="Обычный 4 9" xfId="178"/>
    <cellStyle name="Обычный 5" xfId="179"/>
    <cellStyle name="Обычный 5 10" xfId="180"/>
    <cellStyle name="Обычный 5 11" xfId="181"/>
    <cellStyle name="Обычный 5 12" xfId="182"/>
    <cellStyle name="Обычный 5 13" xfId="183"/>
    <cellStyle name="Обычный 5 14" xfId="184"/>
    <cellStyle name="Обычный 5 15" xfId="185"/>
    <cellStyle name="Обычный 5 2" xfId="186"/>
    <cellStyle name="Обычный 5 3" xfId="187"/>
    <cellStyle name="Обычный 5 4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10" xfId="195"/>
    <cellStyle name="Обычный 6 11" xfId="196"/>
    <cellStyle name="Обычный 6 12" xfId="197"/>
    <cellStyle name="Обычный 6 13" xfId="198"/>
    <cellStyle name="Обычный 6 14" xfId="199"/>
    <cellStyle name="Обычный 6 15" xfId="200"/>
    <cellStyle name="Обычный 6 2" xfId="201"/>
    <cellStyle name="Обычный 6 3" xfId="202"/>
    <cellStyle name="Обычный 6 4" xfId="203"/>
    <cellStyle name="Обычный 6 5" xfId="204"/>
    <cellStyle name="Обычный 6 6" xfId="205"/>
    <cellStyle name="Обычный 6 7" xfId="206"/>
    <cellStyle name="Обычный 6 8" xfId="207"/>
    <cellStyle name="Обычный 6 9" xfId="208"/>
    <cellStyle name="Обычный 7" xfId="209"/>
    <cellStyle name="Обычный 7 10" xfId="210"/>
    <cellStyle name="Обычный 7 11" xfId="211"/>
    <cellStyle name="Обычный 7 12" xfId="212"/>
    <cellStyle name="Обычный 7 13" xfId="213"/>
    <cellStyle name="Обычный 7 14" xfId="214"/>
    <cellStyle name="Обычный 7 15" xfId="215"/>
    <cellStyle name="Обычный 7 2" xfId="216"/>
    <cellStyle name="Обычный 7 3" xfId="217"/>
    <cellStyle name="Обычный 7 4" xfId="218"/>
    <cellStyle name="Обычный 7 5" xfId="219"/>
    <cellStyle name="Обычный 7 6" xfId="220"/>
    <cellStyle name="Обычный 7 7" xfId="221"/>
    <cellStyle name="Обычный 7 8" xfId="222"/>
    <cellStyle name="Обычный 7 9" xfId="223"/>
    <cellStyle name="Обычный 8" xfId="224"/>
    <cellStyle name="Обычный 8 10" xfId="225"/>
    <cellStyle name="Обычный 8 11" xfId="226"/>
    <cellStyle name="Обычный 8 12" xfId="227"/>
    <cellStyle name="Обычный 8 13" xfId="228"/>
    <cellStyle name="Обычный 8 14" xfId="229"/>
    <cellStyle name="Обычный 8 2" xfId="230"/>
    <cellStyle name="Обычный 8 3" xfId="231"/>
    <cellStyle name="Обычный 8 4" xfId="232"/>
    <cellStyle name="Обычный 8 5" xfId="233"/>
    <cellStyle name="Обычный 8 6" xfId="234"/>
    <cellStyle name="Обычный 8 7" xfId="235"/>
    <cellStyle name="Обычный 8 8" xfId="236"/>
    <cellStyle name="Обычный 8 9" xfId="237"/>
    <cellStyle name="Обычный 9" xfId="238"/>
    <cellStyle name="Обычный 9 10" xfId="239"/>
    <cellStyle name="Обычный 9 11" xfId="240"/>
    <cellStyle name="Обычный 9 12" xfId="241"/>
    <cellStyle name="Обычный 9 13" xfId="242"/>
    <cellStyle name="Обычный 9 14" xfId="243"/>
    <cellStyle name="Обычный 9 15" xfId="244"/>
    <cellStyle name="Обычный 9 2" xfId="245"/>
    <cellStyle name="Обычный 9 3" xfId="246"/>
    <cellStyle name="Обычный 9 4" xfId="247"/>
    <cellStyle name="Обычный 9 5" xfId="248"/>
    <cellStyle name="Обычный 9 6" xfId="249"/>
    <cellStyle name="Обычный 9 7" xfId="250"/>
    <cellStyle name="Обычный 9 8" xfId="251"/>
    <cellStyle name="Обычный 9 9" xfId="252"/>
    <cellStyle name="Обычный_для слушателей сентябрь 2015" xfId="2"/>
    <cellStyle name="Обычный_для слушателей сентябрь 2015 2" xfId="270"/>
    <cellStyle name="Подпись" xfId="253"/>
    <cellStyle name="Подстрочный" xfId="254"/>
    <cellStyle name="ПоляЗаполнения" xfId="255"/>
    <cellStyle name="Приложение" xfId="256"/>
    <cellStyle name="Примечание 2" xfId="257"/>
    <cellStyle name="Процентный" xfId="1" builtinId="5"/>
    <cellStyle name="Процентный 2" xfId="259"/>
    <cellStyle name="Процентный 3" xfId="260"/>
    <cellStyle name="Процентный 4" xfId="261"/>
    <cellStyle name="Процентный 5" xfId="258"/>
    <cellStyle name="Табличный" xfId="262"/>
    <cellStyle name="Табличный 2" xfId="263"/>
    <cellStyle name="ТекстСноски" xfId="264"/>
    <cellStyle name="Финансовый 2" xfId="266"/>
    <cellStyle name="Финансовый 2 2" xfId="267"/>
    <cellStyle name="Финансовый 3" xfId="268"/>
    <cellStyle name="Финансовый 3 2" xfId="269"/>
    <cellStyle name="Финансовый 4" xfId="2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zoomScale="90" zoomScaleNormal="90" zoomScaleSheetLayoutView="90" workbookViewId="0">
      <selection activeCell="B6" sqref="B6:B7"/>
    </sheetView>
  </sheetViews>
  <sheetFormatPr defaultColWidth="9.140625" defaultRowHeight="18.75" x14ac:dyDescent="0.3"/>
  <cols>
    <col min="1" max="1" width="10.140625" style="166" customWidth="1"/>
    <col min="2" max="2" width="57.5703125" style="167" customWidth="1"/>
    <col min="3" max="3" width="17.28515625" style="142" customWidth="1"/>
    <col min="4" max="4" width="15.28515625" style="167" customWidth="1"/>
    <col min="5" max="5" width="14.42578125" style="167" customWidth="1"/>
    <col min="6" max="6" width="12.7109375" style="167" customWidth="1"/>
    <col min="7" max="7" width="15.7109375" style="167" customWidth="1"/>
    <col min="8" max="16384" width="9.140625" style="168"/>
  </cols>
  <sheetData>
    <row r="1" spans="1:7" s="137" customFormat="1" x14ac:dyDescent="0.2">
      <c r="A1" s="136" t="s">
        <v>1</v>
      </c>
      <c r="B1" s="136"/>
      <c r="C1" s="136"/>
      <c r="D1" s="136"/>
      <c r="E1" s="136"/>
      <c r="F1" s="136"/>
      <c r="G1" s="136"/>
    </row>
    <row r="2" spans="1:7" s="137" customFormat="1" ht="17.45" customHeight="1" x14ac:dyDescent="0.2">
      <c r="A2" s="138" t="s">
        <v>222</v>
      </c>
      <c r="B2" s="138"/>
      <c r="C2" s="138"/>
      <c r="D2" s="138"/>
      <c r="E2" s="138"/>
      <c r="F2" s="138"/>
      <c r="G2" s="138"/>
    </row>
    <row r="3" spans="1:7" s="137" customFormat="1" ht="17.45" customHeight="1" x14ac:dyDescent="0.2">
      <c r="A3" s="138" t="s">
        <v>311</v>
      </c>
      <c r="B3" s="138"/>
      <c r="C3" s="138"/>
      <c r="D3" s="138"/>
      <c r="E3" s="138"/>
      <c r="F3" s="138"/>
      <c r="G3" s="138"/>
    </row>
    <row r="4" spans="1:7" s="137" customFormat="1" ht="15" customHeight="1" x14ac:dyDescent="0.2">
      <c r="A4" s="139"/>
      <c r="B4" s="139"/>
      <c r="C4" s="139"/>
      <c r="D4" s="139"/>
      <c r="E4" s="139"/>
      <c r="F4" s="139"/>
      <c r="G4" s="139"/>
    </row>
    <row r="5" spans="1:7" s="137" customFormat="1" x14ac:dyDescent="0.2">
      <c r="A5" s="140"/>
      <c r="B5" s="141"/>
      <c r="C5" s="141"/>
      <c r="D5" s="141"/>
      <c r="E5" s="142"/>
      <c r="F5" s="143"/>
      <c r="G5" s="144" t="s">
        <v>226</v>
      </c>
    </row>
    <row r="6" spans="1:7" s="137" customFormat="1" ht="43.15" customHeight="1" x14ac:dyDescent="0.2">
      <c r="A6" s="145" t="s">
        <v>2</v>
      </c>
      <c r="B6" s="146" t="s">
        <v>3</v>
      </c>
      <c r="C6" s="146" t="s">
        <v>4</v>
      </c>
      <c r="D6" s="146" t="s">
        <v>178</v>
      </c>
      <c r="E6" s="146" t="s">
        <v>165</v>
      </c>
      <c r="F6" s="146" t="s">
        <v>150</v>
      </c>
      <c r="G6" s="146" t="s">
        <v>179</v>
      </c>
    </row>
    <row r="7" spans="1:7" s="137" customFormat="1" ht="105" customHeight="1" x14ac:dyDescent="0.2">
      <c r="A7" s="147"/>
      <c r="B7" s="148"/>
      <c r="C7" s="148"/>
      <c r="D7" s="148"/>
      <c r="E7" s="148"/>
      <c r="F7" s="148"/>
      <c r="G7" s="148"/>
    </row>
    <row r="8" spans="1:7" s="137" customFormat="1" x14ac:dyDescent="0.2">
      <c r="A8" s="149">
        <v>1</v>
      </c>
      <c r="B8" s="150" t="s">
        <v>5</v>
      </c>
      <c r="C8" s="151"/>
      <c r="D8" s="151"/>
      <c r="E8" s="151"/>
      <c r="F8" s="151"/>
      <c r="G8" s="151"/>
    </row>
    <row r="9" spans="1:7" s="137" customFormat="1" ht="37.5" x14ac:dyDescent="0.2">
      <c r="A9" s="152" t="s">
        <v>238</v>
      </c>
      <c r="B9" s="100" t="s">
        <v>185</v>
      </c>
      <c r="C9" s="153" t="s">
        <v>6</v>
      </c>
      <c r="D9" s="154"/>
      <c r="E9" s="154"/>
      <c r="F9" s="79">
        <v>11.19</v>
      </c>
      <c r="G9" s="155">
        <v>11.19</v>
      </c>
    </row>
    <row r="10" spans="1:7" s="137" customFormat="1" ht="80.25" customHeight="1" x14ac:dyDescent="0.2">
      <c r="A10" s="101" t="s">
        <v>239</v>
      </c>
      <c r="B10" s="86" t="s">
        <v>186</v>
      </c>
      <c r="C10" s="80" t="s">
        <v>7</v>
      </c>
      <c r="D10" s="81">
        <v>0.9</v>
      </c>
      <c r="E10" s="81">
        <v>1.08</v>
      </c>
      <c r="F10" s="81"/>
      <c r="G10" s="81">
        <v>1.08</v>
      </c>
    </row>
    <row r="11" spans="1:7" s="137" customFormat="1" ht="56.25" x14ac:dyDescent="0.2">
      <c r="A11" s="152" t="s">
        <v>240</v>
      </c>
      <c r="B11" s="100" t="s">
        <v>187</v>
      </c>
      <c r="C11" s="153" t="s">
        <v>8</v>
      </c>
      <c r="D11" s="154"/>
      <c r="E11" s="154"/>
      <c r="F11" s="79">
        <v>5.58</v>
      </c>
      <c r="G11" s="155">
        <v>5.58</v>
      </c>
    </row>
    <row r="12" spans="1:7" s="137" customFormat="1" ht="37.5" x14ac:dyDescent="0.2">
      <c r="A12" s="152" t="s">
        <v>242</v>
      </c>
      <c r="B12" s="100" t="s">
        <v>188</v>
      </c>
      <c r="C12" s="153" t="s">
        <v>7</v>
      </c>
      <c r="D12" s="155">
        <v>0.09</v>
      </c>
      <c r="E12" s="155">
        <v>0.11</v>
      </c>
      <c r="F12" s="79">
        <v>2.2200000000000002</v>
      </c>
      <c r="G12" s="155">
        <v>2.33</v>
      </c>
    </row>
    <row r="13" spans="1:7" s="137" customFormat="1" ht="56.25" x14ac:dyDescent="0.2">
      <c r="A13" s="152" t="s">
        <v>241</v>
      </c>
      <c r="B13" s="100" t="s">
        <v>189</v>
      </c>
      <c r="C13" s="153" t="s">
        <v>7</v>
      </c>
      <c r="D13" s="155">
        <v>0.09</v>
      </c>
      <c r="E13" s="155">
        <v>0.11</v>
      </c>
      <c r="F13" s="79">
        <v>1.65</v>
      </c>
      <c r="G13" s="155">
        <v>1.76</v>
      </c>
    </row>
    <row r="14" spans="1:7" s="137" customFormat="1" ht="56.25" x14ac:dyDescent="0.2">
      <c r="A14" s="152" t="s">
        <v>243</v>
      </c>
      <c r="B14" s="156" t="s">
        <v>190</v>
      </c>
      <c r="C14" s="153" t="s">
        <v>7</v>
      </c>
      <c r="D14" s="154"/>
      <c r="E14" s="154"/>
      <c r="F14" s="79">
        <v>4.4800000000000004</v>
      </c>
      <c r="G14" s="155">
        <v>4.4800000000000004</v>
      </c>
    </row>
    <row r="15" spans="1:7" s="137" customFormat="1" ht="37.5" x14ac:dyDescent="0.2">
      <c r="A15" s="152" t="s">
        <v>244</v>
      </c>
      <c r="B15" s="100" t="s">
        <v>191</v>
      </c>
      <c r="C15" s="153" t="s">
        <v>7</v>
      </c>
      <c r="D15" s="155">
        <v>0.37000000000000005</v>
      </c>
      <c r="E15" s="155">
        <v>0.44</v>
      </c>
      <c r="F15" s="79">
        <v>1.65</v>
      </c>
      <c r="G15" s="155">
        <v>2.09</v>
      </c>
    </row>
    <row r="16" spans="1:7" s="137" customFormat="1" ht="41.25" customHeight="1" x14ac:dyDescent="0.2">
      <c r="A16" s="152" t="s">
        <v>245</v>
      </c>
      <c r="B16" s="100" t="s">
        <v>192</v>
      </c>
      <c r="C16" s="153" t="s">
        <v>7</v>
      </c>
      <c r="D16" s="155">
        <v>6.9999999999999993E-2</v>
      </c>
      <c r="E16" s="155">
        <v>0.08</v>
      </c>
      <c r="F16" s="79">
        <v>3.37</v>
      </c>
      <c r="G16" s="155">
        <v>3.45</v>
      </c>
    </row>
    <row r="17" spans="1:7" s="137" customFormat="1" ht="37.5" x14ac:dyDescent="0.2">
      <c r="A17" s="152" t="s">
        <v>246</v>
      </c>
      <c r="B17" s="100" t="s">
        <v>177</v>
      </c>
      <c r="C17" s="153" t="s">
        <v>7</v>
      </c>
      <c r="D17" s="155">
        <v>0.04</v>
      </c>
      <c r="E17" s="155">
        <v>0.05</v>
      </c>
      <c r="F17" s="79">
        <v>2.2200000000000002</v>
      </c>
      <c r="G17" s="155">
        <v>2.27</v>
      </c>
    </row>
    <row r="18" spans="1:7" s="137" customFormat="1" ht="37.5" x14ac:dyDescent="0.2">
      <c r="A18" s="152" t="s">
        <v>248</v>
      </c>
      <c r="B18" s="100" t="s">
        <v>176</v>
      </c>
      <c r="C18" s="153" t="s">
        <v>7</v>
      </c>
      <c r="D18" s="155">
        <v>0.43000000000000005</v>
      </c>
      <c r="E18" s="155">
        <v>0.52</v>
      </c>
      <c r="F18" s="79">
        <v>2.2200000000000002</v>
      </c>
      <c r="G18" s="155">
        <v>2.74</v>
      </c>
    </row>
    <row r="19" spans="1:7" s="137" customFormat="1" ht="30" customHeight="1" x14ac:dyDescent="0.2">
      <c r="A19" s="152" t="s">
        <v>251</v>
      </c>
      <c r="B19" s="100" t="s">
        <v>196</v>
      </c>
      <c r="C19" s="153" t="s">
        <v>7</v>
      </c>
      <c r="D19" s="155">
        <v>1.88</v>
      </c>
      <c r="E19" s="155">
        <v>2.2599999999999998</v>
      </c>
      <c r="F19" s="79">
        <v>5.58</v>
      </c>
      <c r="G19" s="155">
        <v>7.84</v>
      </c>
    </row>
    <row r="20" spans="1:7" s="137" customFormat="1" ht="30" customHeight="1" x14ac:dyDescent="0.2">
      <c r="A20" s="152" t="s">
        <v>252</v>
      </c>
      <c r="B20" s="100" t="s">
        <v>197</v>
      </c>
      <c r="C20" s="153" t="s">
        <v>7</v>
      </c>
      <c r="D20" s="155">
        <v>2.88</v>
      </c>
      <c r="E20" s="155">
        <v>3.46</v>
      </c>
      <c r="F20" s="79">
        <v>8.3800000000000008</v>
      </c>
      <c r="G20" s="155">
        <v>11.84</v>
      </c>
    </row>
    <row r="21" spans="1:7" s="137" customFormat="1" ht="30" customHeight="1" x14ac:dyDescent="0.2">
      <c r="A21" s="152" t="s">
        <v>247</v>
      </c>
      <c r="B21" s="100" t="s">
        <v>193</v>
      </c>
      <c r="C21" s="153" t="s">
        <v>7</v>
      </c>
      <c r="D21" s="155">
        <v>0.03</v>
      </c>
      <c r="E21" s="155">
        <v>0.04</v>
      </c>
      <c r="F21" s="79">
        <v>2.8</v>
      </c>
      <c r="G21" s="155">
        <v>2.84</v>
      </c>
    </row>
    <row r="22" spans="1:7" s="137" customFormat="1" ht="30" customHeight="1" x14ac:dyDescent="0.2">
      <c r="A22" s="152" t="s">
        <v>249</v>
      </c>
      <c r="B22" s="100" t="s">
        <v>194</v>
      </c>
      <c r="C22" s="153" t="s">
        <v>7</v>
      </c>
      <c r="D22" s="155">
        <v>3.92</v>
      </c>
      <c r="E22" s="155">
        <v>4.7</v>
      </c>
      <c r="F22" s="79">
        <v>6.7</v>
      </c>
      <c r="G22" s="155">
        <v>11.4</v>
      </c>
    </row>
    <row r="23" spans="1:7" s="137" customFormat="1" ht="30" customHeight="1" x14ac:dyDescent="0.2">
      <c r="A23" s="152" t="s">
        <v>250</v>
      </c>
      <c r="B23" s="100" t="s">
        <v>195</v>
      </c>
      <c r="C23" s="153" t="s">
        <v>7</v>
      </c>
      <c r="D23" s="155">
        <v>3</v>
      </c>
      <c r="E23" s="155">
        <v>3.6</v>
      </c>
      <c r="F23" s="79">
        <v>3.37</v>
      </c>
      <c r="G23" s="155">
        <v>6.9700000000000006</v>
      </c>
    </row>
    <row r="24" spans="1:7" s="137" customFormat="1" ht="30" customHeight="1" x14ac:dyDescent="0.2">
      <c r="A24" s="152" t="s">
        <v>303</v>
      </c>
      <c r="B24" s="100" t="s">
        <v>180</v>
      </c>
      <c r="C24" s="153" t="s">
        <v>7</v>
      </c>
      <c r="D24" s="155">
        <v>0.28024242424242418</v>
      </c>
      <c r="E24" s="155">
        <v>0.34</v>
      </c>
      <c r="F24" s="79">
        <v>1.65</v>
      </c>
      <c r="G24" s="155">
        <v>1.99</v>
      </c>
    </row>
    <row r="25" spans="1:7" s="137" customFormat="1" x14ac:dyDescent="0.2">
      <c r="A25" s="149">
        <v>2</v>
      </c>
      <c r="B25" s="150" t="s">
        <v>9</v>
      </c>
      <c r="C25" s="151"/>
      <c r="D25" s="151"/>
      <c r="E25" s="151"/>
      <c r="F25" s="151"/>
      <c r="G25" s="151"/>
    </row>
    <row r="26" spans="1:7" s="137" customFormat="1" ht="40.5" customHeight="1" x14ac:dyDescent="0.2">
      <c r="A26" s="152" t="s">
        <v>231</v>
      </c>
      <c r="B26" s="157" t="s">
        <v>198</v>
      </c>
      <c r="C26" s="158"/>
      <c r="D26" s="158"/>
      <c r="E26" s="158"/>
      <c r="F26" s="158"/>
      <c r="G26" s="159"/>
    </row>
    <row r="27" spans="1:7" s="137" customFormat="1" ht="37.5" x14ac:dyDescent="0.2">
      <c r="A27" s="152" t="s">
        <v>232</v>
      </c>
      <c r="B27" s="100" t="s">
        <v>199</v>
      </c>
      <c r="C27" s="153" t="s">
        <v>7</v>
      </c>
      <c r="D27" s="155">
        <v>2.7699999999999996</v>
      </c>
      <c r="E27" s="155">
        <v>3.32</v>
      </c>
      <c r="F27" s="79">
        <v>4.4800000000000004</v>
      </c>
      <c r="G27" s="155">
        <v>7.8000000000000007</v>
      </c>
    </row>
    <row r="28" spans="1:7" s="137" customFormat="1" ht="37.5" x14ac:dyDescent="0.2">
      <c r="A28" s="152" t="s">
        <v>233</v>
      </c>
      <c r="B28" s="100" t="s">
        <v>200</v>
      </c>
      <c r="C28" s="153" t="s">
        <v>7</v>
      </c>
      <c r="D28" s="155">
        <v>3.55</v>
      </c>
      <c r="E28" s="155">
        <v>4.26</v>
      </c>
      <c r="F28" s="79">
        <v>6.7</v>
      </c>
      <c r="G28" s="155">
        <v>10.96</v>
      </c>
    </row>
    <row r="29" spans="1:7" s="137" customFormat="1" ht="37.5" x14ac:dyDescent="0.2">
      <c r="A29" s="152" t="s">
        <v>234</v>
      </c>
      <c r="B29" s="100" t="s">
        <v>201</v>
      </c>
      <c r="C29" s="153" t="s">
        <v>7</v>
      </c>
      <c r="D29" s="155">
        <v>4.2699999999999996</v>
      </c>
      <c r="E29" s="155">
        <v>5.12</v>
      </c>
      <c r="F29" s="79">
        <v>10.08</v>
      </c>
      <c r="G29" s="155">
        <v>15.2</v>
      </c>
    </row>
    <row r="30" spans="1:7" s="137" customFormat="1" ht="37.5" x14ac:dyDescent="0.2">
      <c r="A30" s="152" t="s">
        <v>235</v>
      </c>
      <c r="B30" s="100" t="s">
        <v>202</v>
      </c>
      <c r="C30" s="153" t="s">
        <v>7</v>
      </c>
      <c r="D30" s="155">
        <v>6.41</v>
      </c>
      <c r="E30" s="155">
        <v>7.69</v>
      </c>
      <c r="F30" s="79">
        <v>12.86</v>
      </c>
      <c r="G30" s="155">
        <v>20.55</v>
      </c>
    </row>
    <row r="31" spans="1:7" s="137" customFormat="1" ht="56.25" x14ac:dyDescent="0.2">
      <c r="A31" s="160" t="s">
        <v>257</v>
      </c>
      <c r="B31" s="161" t="s">
        <v>203</v>
      </c>
      <c r="C31" s="153" t="s">
        <v>219</v>
      </c>
      <c r="D31" s="162">
        <v>11.28</v>
      </c>
      <c r="E31" s="162">
        <v>13.54</v>
      </c>
      <c r="F31" s="79">
        <v>5.58</v>
      </c>
      <c r="G31" s="155">
        <v>19.119999999999997</v>
      </c>
    </row>
    <row r="32" spans="1:7" s="137" customFormat="1" ht="56.25" x14ac:dyDescent="0.2">
      <c r="A32" s="160" t="s">
        <v>254</v>
      </c>
      <c r="B32" s="91" t="s">
        <v>230</v>
      </c>
      <c r="C32" s="153" t="s">
        <v>228</v>
      </c>
      <c r="D32" s="162">
        <v>5.86</v>
      </c>
      <c r="E32" s="162">
        <v>7.03</v>
      </c>
      <c r="F32" s="79">
        <v>4.4800000000000004</v>
      </c>
      <c r="G32" s="155">
        <v>11.510000000000002</v>
      </c>
    </row>
    <row r="33" spans="1:7" s="137" customFormat="1" ht="56.25" x14ac:dyDescent="0.2">
      <c r="A33" s="160" t="s">
        <v>255</v>
      </c>
      <c r="B33" s="91" t="s">
        <v>230</v>
      </c>
      <c r="C33" s="153" t="s">
        <v>229</v>
      </c>
      <c r="D33" s="162">
        <v>3.2</v>
      </c>
      <c r="E33" s="162">
        <v>3.8400000000000003</v>
      </c>
      <c r="F33" s="79">
        <v>4.4800000000000004</v>
      </c>
      <c r="G33" s="155">
        <v>8.32</v>
      </c>
    </row>
    <row r="34" spans="1:7" s="137" customFormat="1" ht="56.25" x14ac:dyDescent="0.2">
      <c r="A34" s="160" t="s">
        <v>256</v>
      </c>
      <c r="B34" s="91" t="s">
        <v>230</v>
      </c>
      <c r="C34" s="153" t="s">
        <v>219</v>
      </c>
      <c r="D34" s="162">
        <v>2.0499999999999998</v>
      </c>
      <c r="E34" s="162">
        <v>2.46</v>
      </c>
      <c r="F34" s="79">
        <v>4.4800000000000004</v>
      </c>
      <c r="G34" s="155">
        <v>6.94</v>
      </c>
    </row>
    <row r="35" spans="1:7" s="137" customFormat="1" ht="56.25" x14ac:dyDescent="0.2">
      <c r="A35" s="160" t="s">
        <v>253</v>
      </c>
      <c r="B35" s="91" t="s">
        <v>236</v>
      </c>
      <c r="C35" s="153" t="s">
        <v>237</v>
      </c>
      <c r="D35" s="162">
        <v>0.61</v>
      </c>
      <c r="E35" s="162">
        <v>0.73</v>
      </c>
      <c r="F35" s="79">
        <v>4.4800000000000004</v>
      </c>
      <c r="G35" s="155">
        <v>5.2100000000000009</v>
      </c>
    </row>
    <row r="36" spans="1:7" s="137" customFormat="1" ht="18.75" customHeight="1" x14ac:dyDescent="0.2">
      <c r="A36" s="152"/>
      <c r="B36" s="157" t="s">
        <v>184</v>
      </c>
      <c r="C36" s="158"/>
      <c r="D36" s="158"/>
      <c r="E36" s="158"/>
      <c r="F36" s="158"/>
      <c r="G36" s="159"/>
    </row>
    <row r="37" spans="1:7" s="137" customFormat="1" ht="37.5" x14ac:dyDescent="0.2">
      <c r="A37" s="152" t="s">
        <v>258</v>
      </c>
      <c r="B37" s="100" t="s">
        <v>204</v>
      </c>
      <c r="C37" s="153" t="s">
        <v>7</v>
      </c>
      <c r="D37" s="155">
        <v>12.81</v>
      </c>
      <c r="E37" s="155">
        <v>15.37</v>
      </c>
      <c r="F37" s="79">
        <v>6.7</v>
      </c>
      <c r="G37" s="155">
        <v>22.07</v>
      </c>
    </row>
    <row r="38" spans="1:7" s="137" customFormat="1" ht="37.5" x14ac:dyDescent="0.2">
      <c r="A38" s="152" t="s">
        <v>259</v>
      </c>
      <c r="B38" s="100" t="s">
        <v>205</v>
      </c>
      <c r="C38" s="153" t="s">
        <v>7</v>
      </c>
      <c r="D38" s="155">
        <v>12.81</v>
      </c>
      <c r="E38" s="155">
        <v>15.37</v>
      </c>
      <c r="F38" s="79">
        <v>10.08</v>
      </c>
      <c r="G38" s="155">
        <v>25.45</v>
      </c>
    </row>
    <row r="39" spans="1:7" s="137" customFormat="1" ht="30" customHeight="1" x14ac:dyDescent="0.2">
      <c r="A39" s="152" t="s">
        <v>260</v>
      </c>
      <c r="B39" s="100" t="s">
        <v>206</v>
      </c>
      <c r="C39" s="153" t="s">
        <v>7</v>
      </c>
      <c r="D39" s="155">
        <v>0.64</v>
      </c>
      <c r="E39" s="155">
        <v>0.77</v>
      </c>
      <c r="F39" s="79">
        <v>2.2200000000000002</v>
      </c>
      <c r="G39" s="155">
        <v>2.99</v>
      </c>
    </row>
    <row r="40" spans="1:7" s="137" customFormat="1" ht="37.5" x14ac:dyDescent="0.2">
      <c r="A40" s="152" t="s">
        <v>263</v>
      </c>
      <c r="B40" s="163" t="s">
        <v>208</v>
      </c>
      <c r="C40" s="153" t="s">
        <v>7</v>
      </c>
      <c r="D40" s="155">
        <v>3.4399999999999995</v>
      </c>
      <c r="E40" s="155">
        <v>4.13</v>
      </c>
      <c r="F40" s="79">
        <v>5.58</v>
      </c>
      <c r="G40" s="155">
        <v>9.7100000000000009</v>
      </c>
    </row>
    <row r="41" spans="1:7" s="137" customFormat="1" ht="46.5" customHeight="1" x14ac:dyDescent="0.2">
      <c r="A41" s="152" t="s">
        <v>264</v>
      </c>
      <c r="B41" s="163" t="s">
        <v>166</v>
      </c>
      <c r="C41" s="153" t="s">
        <v>7</v>
      </c>
      <c r="D41" s="155">
        <v>5.53</v>
      </c>
      <c r="E41" s="155">
        <v>6.64</v>
      </c>
      <c r="F41" s="79">
        <v>12.31</v>
      </c>
      <c r="G41" s="155">
        <v>18.95</v>
      </c>
    </row>
    <row r="42" spans="1:7" s="137" customFormat="1" ht="30" customHeight="1" x14ac:dyDescent="0.2">
      <c r="A42" s="152" t="s">
        <v>261</v>
      </c>
      <c r="B42" s="100" t="s">
        <v>207</v>
      </c>
      <c r="C42" s="153" t="s">
        <v>7</v>
      </c>
      <c r="D42" s="155">
        <v>0.01</v>
      </c>
      <c r="E42" s="155">
        <v>0.01</v>
      </c>
      <c r="F42" s="79">
        <v>1.65</v>
      </c>
      <c r="G42" s="155">
        <v>1.66</v>
      </c>
    </row>
    <row r="43" spans="1:7" s="137" customFormat="1" ht="30" customHeight="1" x14ac:dyDescent="0.2">
      <c r="A43" s="152" t="s">
        <v>262</v>
      </c>
      <c r="B43" s="100" t="s">
        <v>138</v>
      </c>
      <c r="C43" s="153" t="s">
        <v>7</v>
      </c>
      <c r="D43" s="155">
        <v>0.09</v>
      </c>
      <c r="E43" s="155">
        <v>0.11</v>
      </c>
      <c r="F43" s="79">
        <v>2.8</v>
      </c>
      <c r="G43" s="155">
        <v>2.9099999999999997</v>
      </c>
    </row>
    <row r="44" spans="1:7" s="137" customFormat="1" ht="30" customHeight="1" x14ac:dyDescent="0.2">
      <c r="A44" s="152" t="s">
        <v>266</v>
      </c>
      <c r="B44" s="100" t="s">
        <v>139</v>
      </c>
      <c r="C44" s="153" t="s">
        <v>7</v>
      </c>
      <c r="D44" s="155">
        <v>0.19</v>
      </c>
      <c r="E44" s="155">
        <v>0.23</v>
      </c>
      <c r="F44" s="79">
        <v>2.8</v>
      </c>
      <c r="G44" s="155">
        <v>3.03</v>
      </c>
    </row>
    <row r="45" spans="1:7" s="137" customFormat="1" ht="60.75" customHeight="1" x14ac:dyDescent="0.2">
      <c r="A45" s="152" t="s">
        <v>267</v>
      </c>
      <c r="B45" s="100" t="s">
        <v>140</v>
      </c>
      <c r="C45" s="153" t="s">
        <v>7</v>
      </c>
      <c r="D45" s="155">
        <v>4.4300000000000006</v>
      </c>
      <c r="E45" s="155">
        <v>5.32</v>
      </c>
      <c r="F45" s="79">
        <v>11.19</v>
      </c>
      <c r="G45" s="155">
        <v>16.509999999999998</v>
      </c>
    </row>
    <row r="46" spans="1:7" s="137" customFormat="1" ht="28.5" customHeight="1" x14ac:dyDescent="0.2">
      <c r="A46" s="152" t="s">
        <v>183</v>
      </c>
      <c r="B46" s="163" t="s">
        <v>141</v>
      </c>
      <c r="C46" s="153" t="s">
        <v>7</v>
      </c>
      <c r="D46" s="155">
        <v>0.01</v>
      </c>
      <c r="E46" s="155">
        <v>0.01</v>
      </c>
      <c r="F46" s="79">
        <v>2.8</v>
      </c>
      <c r="G46" s="155">
        <v>2.8099999999999996</v>
      </c>
    </row>
    <row r="47" spans="1:7" s="137" customFormat="1" ht="56.25" x14ac:dyDescent="0.2">
      <c r="A47" s="152" t="s">
        <v>182</v>
      </c>
      <c r="B47" s="100" t="s">
        <v>142</v>
      </c>
      <c r="C47" s="153" t="s">
        <v>7</v>
      </c>
      <c r="D47" s="155">
        <v>0.03</v>
      </c>
      <c r="E47" s="155">
        <v>0.04</v>
      </c>
      <c r="F47" s="79">
        <v>4.4800000000000004</v>
      </c>
      <c r="G47" s="155">
        <v>4.5200000000000005</v>
      </c>
    </row>
    <row r="48" spans="1:7" s="137" customFormat="1" ht="30" customHeight="1" x14ac:dyDescent="0.2">
      <c r="A48" s="152" t="s">
        <v>268</v>
      </c>
      <c r="B48" s="100" t="s">
        <v>167</v>
      </c>
      <c r="C48" s="153" t="s">
        <v>7</v>
      </c>
      <c r="D48" s="155">
        <v>3.0999999999999996</v>
      </c>
      <c r="E48" s="155">
        <v>3.72</v>
      </c>
      <c r="F48" s="79">
        <v>4.4800000000000004</v>
      </c>
      <c r="G48" s="155">
        <v>8.2000000000000011</v>
      </c>
    </row>
    <row r="49" spans="1:7" s="137" customFormat="1" ht="30" customHeight="1" x14ac:dyDescent="0.2">
      <c r="A49" s="152" t="s">
        <v>269</v>
      </c>
      <c r="B49" s="100" t="s">
        <v>168</v>
      </c>
      <c r="C49" s="153" t="s">
        <v>7</v>
      </c>
      <c r="D49" s="155">
        <v>4.49</v>
      </c>
      <c r="E49" s="155">
        <v>5.39</v>
      </c>
      <c r="F49" s="79">
        <v>13.98</v>
      </c>
      <c r="G49" s="155">
        <v>19.37</v>
      </c>
    </row>
    <row r="50" spans="1:7" s="137" customFormat="1" ht="37.5" customHeight="1" x14ac:dyDescent="0.2">
      <c r="A50" s="152" t="s">
        <v>270</v>
      </c>
      <c r="B50" s="100" t="s">
        <v>169</v>
      </c>
      <c r="C50" s="153" t="s">
        <v>7</v>
      </c>
      <c r="D50" s="155">
        <v>7.91</v>
      </c>
      <c r="E50" s="155">
        <v>9.49</v>
      </c>
      <c r="F50" s="79">
        <v>16.79</v>
      </c>
      <c r="G50" s="155">
        <v>26.28</v>
      </c>
    </row>
    <row r="51" spans="1:7" s="137" customFormat="1" ht="56.25" x14ac:dyDescent="0.2">
      <c r="A51" s="152" t="s">
        <v>265</v>
      </c>
      <c r="B51" s="163" t="s">
        <v>143</v>
      </c>
      <c r="C51" s="153" t="s">
        <v>7</v>
      </c>
      <c r="D51" s="155">
        <v>2.92</v>
      </c>
      <c r="E51" s="155">
        <v>3.5</v>
      </c>
      <c r="F51" s="79">
        <v>10.08</v>
      </c>
      <c r="G51" s="155">
        <v>13.58</v>
      </c>
    </row>
    <row r="52" spans="1:7" s="137" customFormat="1" ht="40.5" customHeight="1" x14ac:dyDescent="0.2">
      <c r="A52" s="152" t="s">
        <v>307</v>
      </c>
      <c r="B52" s="157" t="s">
        <v>209</v>
      </c>
      <c r="C52" s="158"/>
      <c r="D52" s="158"/>
      <c r="E52" s="158"/>
      <c r="F52" s="158"/>
      <c r="G52" s="159"/>
    </row>
    <row r="53" spans="1:7" s="137" customFormat="1" ht="37.5" x14ac:dyDescent="0.2">
      <c r="A53" s="152" t="s">
        <v>271</v>
      </c>
      <c r="B53" s="164" t="s">
        <v>210</v>
      </c>
      <c r="C53" s="153" t="s">
        <v>217</v>
      </c>
      <c r="D53" s="155">
        <v>5.43</v>
      </c>
      <c r="E53" s="155">
        <v>5.97</v>
      </c>
      <c r="F53" s="79">
        <v>11.19</v>
      </c>
      <c r="G53" s="155">
        <v>17.16</v>
      </c>
    </row>
    <row r="54" spans="1:7" s="137" customFormat="1" ht="37.5" x14ac:dyDescent="0.2">
      <c r="A54" s="152" t="s">
        <v>272</v>
      </c>
      <c r="B54" s="164" t="s">
        <v>211</v>
      </c>
      <c r="C54" s="153" t="s">
        <v>217</v>
      </c>
      <c r="D54" s="155">
        <v>8.15</v>
      </c>
      <c r="E54" s="155">
        <v>9.7799999999999994</v>
      </c>
      <c r="F54" s="79">
        <v>13.98</v>
      </c>
      <c r="G54" s="155">
        <v>23.759999999999998</v>
      </c>
    </row>
    <row r="55" spans="1:7" s="137" customFormat="1" ht="37.5" x14ac:dyDescent="0.2">
      <c r="A55" s="152" t="s">
        <v>273</v>
      </c>
      <c r="B55" s="164" t="s">
        <v>212</v>
      </c>
      <c r="C55" s="153" t="s">
        <v>217</v>
      </c>
      <c r="D55" s="155">
        <v>10.87</v>
      </c>
      <c r="E55" s="155">
        <v>13.04</v>
      </c>
      <c r="F55" s="79">
        <v>16.79</v>
      </c>
      <c r="G55" s="155">
        <v>29.83</v>
      </c>
    </row>
    <row r="56" spans="1:7" s="137" customFormat="1" ht="37.5" x14ac:dyDescent="0.2">
      <c r="A56" s="152" t="s">
        <v>274</v>
      </c>
      <c r="B56" s="164" t="s">
        <v>213</v>
      </c>
      <c r="C56" s="153" t="s">
        <v>217</v>
      </c>
      <c r="D56" s="155">
        <v>13.58</v>
      </c>
      <c r="E56" s="155">
        <v>16.3</v>
      </c>
      <c r="F56" s="79">
        <v>19.559999999999999</v>
      </c>
      <c r="G56" s="155">
        <v>35.86</v>
      </c>
    </row>
    <row r="57" spans="1:7" s="137" customFormat="1" ht="37.5" x14ac:dyDescent="0.2">
      <c r="A57" s="152" t="s">
        <v>275</v>
      </c>
      <c r="B57" s="164" t="s">
        <v>210</v>
      </c>
      <c r="C57" s="153" t="s">
        <v>218</v>
      </c>
      <c r="D57" s="155">
        <v>4.5</v>
      </c>
      <c r="E57" s="155">
        <v>4.95</v>
      </c>
      <c r="F57" s="79">
        <v>11.19</v>
      </c>
      <c r="G57" s="155">
        <v>16.14</v>
      </c>
    </row>
    <row r="58" spans="1:7" s="137" customFormat="1" ht="37.5" x14ac:dyDescent="0.2">
      <c r="A58" s="152" t="s">
        <v>276</v>
      </c>
      <c r="B58" s="164" t="s">
        <v>211</v>
      </c>
      <c r="C58" s="153" t="s">
        <v>218</v>
      </c>
      <c r="D58" s="155">
        <v>6.76</v>
      </c>
      <c r="E58" s="155">
        <v>8.11</v>
      </c>
      <c r="F58" s="79">
        <v>13.98</v>
      </c>
      <c r="G58" s="155">
        <v>22.09</v>
      </c>
    </row>
    <row r="59" spans="1:7" s="137" customFormat="1" ht="37.5" x14ac:dyDescent="0.2">
      <c r="A59" s="152" t="s">
        <v>277</v>
      </c>
      <c r="B59" s="164" t="s">
        <v>212</v>
      </c>
      <c r="C59" s="153" t="s">
        <v>218</v>
      </c>
      <c r="D59" s="155">
        <v>9.01</v>
      </c>
      <c r="E59" s="155">
        <v>10.81</v>
      </c>
      <c r="F59" s="79">
        <v>16.79</v>
      </c>
      <c r="G59" s="155">
        <v>27.6</v>
      </c>
    </row>
    <row r="60" spans="1:7" s="137" customFormat="1" ht="37.5" x14ac:dyDescent="0.2">
      <c r="A60" s="152" t="s">
        <v>278</v>
      </c>
      <c r="B60" s="164" t="s">
        <v>213</v>
      </c>
      <c r="C60" s="153" t="s">
        <v>218</v>
      </c>
      <c r="D60" s="155">
        <v>11.26</v>
      </c>
      <c r="E60" s="155">
        <v>13.51</v>
      </c>
      <c r="F60" s="79">
        <v>19.559999999999999</v>
      </c>
      <c r="G60" s="155">
        <v>33.07</v>
      </c>
    </row>
    <row r="61" spans="1:7" s="137" customFormat="1" ht="37.5" x14ac:dyDescent="0.2">
      <c r="A61" s="152" t="s">
        <v>279</v>
      </c>
      <c r="B61" s="164" t="s">
        <v>210</v>
      </c>
      <c r="C61" s="153" t="s">
        <v>219</v>
      </c>
      <c r="D61" s="155">
        <v>7.52</v>
      </c>
      <c r="E61" s="155">
        <v>9.02</v>
      </c>
      <c r="F61" s="79">
        <v>11.19</v>
      </c>
      <c r="G61" s="155">
        <v>20.21</v>
      </c>
    </row>
    <row r="62" spans="1:7" s="137" customFormat="1" ht="37.5" x14ac:dyDescent="0.2">
      <c r="A62" s="152" t="s">
        <v>280</v>
      </c>
      <c r="B62" s="164" t="s">
        <v>211</v>
      </c>
      <c r="C62" s="153" t="s">
        <v>219</v>
      </c>
      <c r="D62" s="155">
        <v>11.28</v>
      </c>
      <c r="E62" s="155">
        <v>13.54</v>
      </c>
      <c r="F62" s="79">
        <v>13.98</v>
      </c>
      <c r="G62" s="155">
        <v>27.52</v>
      </c>
    </row>
    <row r="63" spans="1:7" s="137" customFormat="1" ht="37.5" x14ac:dyDescent="0.2">
      <c r="A63" s="152" t="s">
        <v>281</v>
      </c>
      <c r="B63" s="164" t="s">
        <v>212</v>
      </c>
      <c r="C63" s="153" t="s">
        <v>219</v>
      </c>
      <c r="D63" s="155">
        <v>15.03</v>
      </c>
      <c r="E63" s="155">
        <v>18.04</v>
      </c>
      <c r="F63" s="79">
        <v>16.79</v>
      </c>
      <c r="G63" s="155">
        <v>34.83</v>
      </c>
    </row>
    <row r="64" spans="1:7" s="137" customFormat="1" ht="37.5" x14ac:dyDescent="0.2">
      <c r="A64" s="152" t="s">
        <v>282</v>
      </c>
      <c r="B64" s="164" t="s">
        <v>213</v>
      </c>
      <c r="C64" s="153" t="s">
        <v>219</v>
      </c>
      <c r="D64" s="155">
        <v>18.79</v>
      </c>
      <c r="E64" s="155">
        <v>22.55</v>
      </c>
      <c r="F64" s="79">
        <v>19.559999999999999</v>
      </c>
      <c r="G64" s="155">
        <v>42.11</v>
      </c>
    </row>
    <row r="65" spans="1:7" s="137" customFormat="1" ht="37.5" x14ac:dyDescent="0.2">
      <c r="A65" s="152" t="s">
        <v>283</v>
      </c>
      <c r="B65" s="164" t="s">
        <v>210</v>
      </c>
      <c r="C65" s="153" t="s">
        <v>223</v>
      </c>
      <c r="D65" s="155">
        <v>4.68</v>
      </c>
      <c r="E65" s="155">
        <v>5.6199999999999992</v>
      </c>
      <c r="F65" s="79">
        <v>11.19</v>
      </c>
      <c r="G65" s="155">
        <v>16.809999999999999</v>
      </c>
    </row>
    <row r="66" spans="1:7" s="137" customFormat="1" ht="37.5" x14ac:dyDescent="0.2">
      <c r="A66" s="152" t="s">
        <v>284</v>
      </c>
      <c r="B66" s="164" t="s">
        <v>211</v>
      </c>
      <c r="C66" s="153" t="s">
        <v>223</v>
      </c>
      <c r="D66" s="155">
        <v>7.02</v>
      </c>
      <c r="E66" s="155">
        <v>7.72</v>
      </c>
      <c r="F66" s="79">
        <v>13.98</v>
      </c>
      <c r="G66" s="155">
        <v>21.7</v>
      </c>
    </row>
    <row r="67" spans="1:7" s="137" customFormat="1" ht="37.5" x14ac:dyDescent="0.2">
      <c r="A67" s="152" t="s">
        <v>285</v>
      </c>
      <c r="B67" s="164" t="s">
        <v>212</v>
      </c>
      <c r="C67" s="153" t="s">
        <v>224</v>
      </c>
      <c r="D67" s="155">
        <v>9.36</v>
      </c>
      <c r="E67" s="155">
        <v>10.299999999999999</v>
      </c>
      <c r="F67" s="79">
        <v>16.79</v>
      </c>
      <c r="G67" s="155">
        <v>27.089999999999996</v>
      </c>
    </row>
    <row r="68" spans="1:7" s="137" customFormat="1" ht="37.5" x14ac:dyDescent="0.2">
      <c r="A68" s="152" t="s">
        <v>286</v>
      </c>
      <c r="B68" s="164" t="s">
        <v>213</v>
      </c>
      <c r="C68" s="153" t="s">
        <v>224</v>
      </c>
      <c r="D68" s="155">
        <v>11.7</v>
      </c>
      <c r="E68" s="155">
        <v>12.87</v>
      </c>
      <c r="F68" s="79">
        <v>19.559999999999999</v>
      </c>
      <c r="G68" s="155">
        <v>32.43</v>
      </c>
    </row>
    <row r="69" spans="1:7" s="137" customFormat="1" ht="37.5" x14ac:dyDescent="0.2">
      <c r="A69" s="152" t="s">
        <v>287</v>
      </c>
      <c r="B69" s="164" t="s">
        <v>210</v>
      </c>
      <c r="C69" s="153" t="s">
        <v>225</v>
      </c>
      <c r="D69" s="155">
        <v>1.38</v>
      </c>
      <c r="E69" s="155">
        <v>1.66</v>
      </c>
      <c r="F69" s="79">
        <v>11.19</v>
      </c>
      <c r="G69" s="155">
        <v>12.85</v>
      </c>
    </row>
    <row r="70" spans="1:7" s="137" customFormat="1" ht="37.5" x14ac:dyDescent="0.2">
      <c r="A70" s="152" t="s">
        <v>288</v>
      </c>
      <c r="B70" s="164" t="s">
        <v>211</v>
      </c>
      <c r="C70" s="153" t="s">
        <v>225</v>
      </c>
      <c r="D70" s="155">
        <v>2.06</v>
      </c>
      <c r="E70" s="155">
        <v>2.27</v>
      </c>
      <c r="F70" s="79">
        <v>13.98</v>
      </c>
      <c r="G70" s="155">
        <v>16.25</v>
      </c>
    </row>
    <row r="71" spans="1:7" s="137" customFormat="1" ht="37.5" x14ac:dyDescent="0.2">
      <c r="A71" s="152" t="s">
        <v>289</v>
      </c>
      <c r="B71" s="164" t="s">
        <v>212</v>
      </c>
      <c r="C71" s="153" t="s">
        <v>225</v>
      </c>
      <c r="D71" s="155">
        <v>2.75</v>
      </c>
      <c r="E71" s="155">
        <v>3.0300000000000002</v>
      </c>
      <c r="F71" s="79">
        <v>16.79</v>
      </c>
      <c r="G71" s="155">
        <v>19.82</v>
      </c>
    </row>
    <row r="72" spans="1:7" s="137" customFormat="1" ht="37.5" x14ac:dyDescent="0.2">
      <c r="A72" s="152" t="s">
        <v>290</v>
      </c>
      <c r="B72" s="164" t="s">
        <v>213</v>
      </c>
      <c r="C72" s="153" t="s">
        <v>225</v>
      </c>
      <c r="D72" s="155">
        <v>3.44</v>
      </c>
      <c r="E72" s="155">
        <v>3.78</v>
      </c>
      <c r="F72" s="79">
        <v>19.559999999999999</v>
      </c>
      <c r="G72" s="155">
        <v>23.34</v>
      </c>
    </row>
    <row r="73" spans="1:7" s="137" customFormat="1" ht="40.5" customHeight="1" x14ac:dyDescent="0.2">
      <c r="A73" s="152" t="s">
        <v>291</v>
      </c>
      <c r="B73" s="157" t="s">
        <v>214</v>
      </c>
      <c r="C73" s="158"/>
      <c r="D73" s="158"/>
      <c r="E73" s="158"/>
      <c r="F73" s="158"/>
      <c r="G73" s="159"/>
    </row>
    <row r="74" spans="1:7" s="137" customFormat="1" ht="37.5" x14ac:dyDescent="0.2">
      <c r="A74" s="152" t="s">
        <v>291</v>
      </c>
      <c r="B74" s="165" t="s">
        <v>210</v>
      </c>
      <c r="C74" s="153" t="s">
        <v>220</v>
      </c>
      <c r="D74" s="155">
        <v>2.2799999999999994</v>
      </c>
      <c r="E74" s="155">
        <v>2.74</v>
      </c>
      <c r="F74" s="79">
        <v>11.19</v>
      </c>
      <c r="G74" s="155">
        <v>13.93</v>
      </c>
    </row>
    <row r="75" spans="1:7" s="137" customFormat="1" ht="37.5" x14ac:dyDescent="0.2">
      <c r="A75" s="160" t="s">
        <v>309</v>
      </c>
      <c r="B75" s="161" t="s">
        <v>211</v>
      </c>
      <c r="C75" s="153" t="s">
        <v>220</v>
      </c>
      <c r="D75" s="155">
        <v>3.0399999999999996</v>
      </c>
      <c r="E75" s="155">
        <v>3.65</v>
      </c>
      <c r="F75" s="79">
        <v>13.98</v>
      </c>
      <c r="G75" s="155">
        <v>17.63</v>
      </c>
    </row>
    <row r="76" spans="1:7" s="137" customFormat="1" ht="37.5" x14ac:dyDescent="0.2">
      <c r="A76" s="160" t="s">
        <v>308</v>
      </c>
      <c r="B76" s="161" t="s">
        <v>212</v>
      </c>
      <c r="C76" s="153" t="s">
        <v>220</v>
      </c>
      <c r="D76" s="155">
        <v>3.7999999999999994</v>
      </c>
      <c r="E76" s="155">
        <v>4.5599999999999996</v>
      </c>
      <c r="F76" s="79">
        <v>16.79</v>
      </c>
      <c r="G76" s="155">
        <v>21.349999999999998</v>
      </c>
    </row>
    <row r="77" spans="1:7" s="137" customFormat="1" ht="37.5" x14ac:dyDescent="0.2">
      <c r="A77" s="160" t="s">
        <v>310</v>
      </c>
      <c r="B77" s="161" t="s">
        <v>213</v>
      </c>
      <c r="C77" s="153" t="s">
        <v>220</v>
      </c>
      <c r="D77" s="155">
        <v>4.5599999999999987</v>
      </c>
      <c r="E77" s="155">
        <v>5.47</v>
      </c>
      <c r="F77" s="79">
        <v>19.559999999999999</v>
      </c>
      <c r="G77" s="155">
        <v>25.029999999999998</v>
      </c>
    </row>
    <row r="78" spans="1:7" s="137" customFormat="1" ht="37.5" x14ac:dyDescent="0.2">
      <c r="A78" s="152" t="s">
        <v>297</v>
      </c>
      <c r="B78" s="100" t="s">
        <v>170</v>
      </c>
      <c r="C78" s="153" t="s">
        <v>7</v>
      </c>
      <c r="D78" s="155">
        <v>6.51</v>
      </c>
      <c r="E78" s="155">
        <v>7.81</v>
      </c>
      <c r="F78" s="79">
        <v>11.19</v>
      </c>
      <c r="G78" s="155">
        <v>19</v>
      </c>
    </row>
    <row r="79" spans="1:7" s="137" customFormat="1" ht="75" x14ac:dyDescent="0.2">
      <c r="A79" s="152" t="s">
        <v>302</v>
      </c>
      <c r="B79" s="100" t="s">
        <v>171</v>
      </c>
      <c r="C79" s="153" t="s">
        <v>7</v>
      </c>
      <c r="D79" s="155">
        <v>4.3499999999999996</v>
      </c>
      <c r="E79" s="155">
        <v>5.22</v>
      </c>
      <c r="F79" s="79">
        <v>13.98</v>
      </c>
      <c r="G79" s="155">
        <v>19.2</v>
      </c>
    </row>
    <row r="80" spans="1:7" s="137" customFormat="1" ht="56.25" x14ac:dyDescent="0.2">
      <c r="A80" s="152" t="s">
        <v>298</v>
      </c>
      <c r="B80" s="100" t="s">
        <v>172</v>
      </c>
      <c r="C80" s="153" t="s">
        <v>7</v>
      </c>
      <c r="D80" s="155">
        <v>1.08</v>
      </c>
      <c r="E80" s="155">
        <v>1.3</v>
      </c>
      <c r="F80" s="79">
        <v>13.98</v>
      </c>
      <c r="G80" s="155">
        <v>15.280000000000001</v>
      </c>
    </row>
    <row r="81" spans="1:7" s="137" customFormat="1" ht="37.5" x14ac:dyDescent="0.2">
      <c r="A81" s="152" t="s">
        <v>292</v>
      </c>
      <c r="B81" s="100" t="s">
        <v>215</v>
      </c>
      <c r="C81" s="153" t="s">
        <v>7</v>
      </c>
      <c r="D81" s="155">
        <v>1.0900000000000001</v>
      </c>
      <c r="E81" s="155">
        <v>1.31</v>
      </c>
      <c r="F81" s="79">
        <v>11.19</v>
      </c>
      <c r="G81" s="155">
        <v>12.5</v>
      </c>
    </row>
    <row r="82" spans="1:7" s="137" customFormat="1" ht="37.5" x14ac:dyDescent="0.2">
      <c r="A82" s="152" t="s">
        <v>299</v>
      </c>
      <c r="B82" s="100" t="s">
        <v>173</v>
      </c>
      <c r="C82" s="153" t="s">
        <v>7</v>
      </c>
      <c r="D82" s="155">
        <v>1.0900000000000001</v>
      </c>
      <c r="E82" s="155">
        <v>1.31</v>
      </c>
      <c r="F82" s="79">
        <v>5.58</v>
      </c>
      <c r="G82" s="155">
        <v>6.8900000000000006</v>
      </c>
    </row>
    <row r="83" spans="1:7" s="137" customFormat="1" ht="56.25" x14ac:dyDescent="0.2">
      <c r="A83" s="152" t="s">
        <v>300</v>
      </c>
      <c r="B83" s="100" t="s">
        <v>174</v>
      </c>
      <c r="C83" s="153" t="s">
        <v>7</v>
      </c>
      <c r="D83" s="155">
        <v>1.0900000000000001</v>
      </c>
      <c r="E83" s="155">
        <v>1.31</v>
      </c>
      <c r="F83" s="79">
        <v>8.3800000000000008</v>
      </c>
      <c r="G83" s="155">
        <v>9.6900000000000013</v>
      </c>
    </row>
    <row r="84" spans="1:7" s="137" customFormat="1" ht="30" customHeight="1" x14ac:dyDescent="0.2">
      <c r="A84" s="152" t="s">
        <v>293</v>
      </c>
      <c r="B84" s="100" t="s">
        <v>148</v>
      </c>
      <c r="C84" s="153" t="s">
        <v>7</v>
      </c>
      <c r="D84" s="155">
        <v>3.24</v>
      </c>
      <c r="E84" s="155">
        <v>3.89</v>
      </c>
      <c r="F84" s="79">
        <v>2.2200000000000002</v>
      </c>
      <c r="G84" s="155">
        <v>6.11</v>
      </c>
    </row>
    <row r="85" spans="1:7" s="137" customFormat="1" ht="56.25" x14ac:dyDescent="0.2">
      <c r="A85" s="152" t="s">
        <v>294</v>
      </c>
      <c r="B85" s="100" t="s">
        <v>306</v>
      </c>
      <c r="C85" s="153" t="s">
        <v>7</v>
      </c>
      <c r="D85" s="155">
        <v>5.1775757575757577</v>
      </c>
      <c r="E85" s="155">
        <v>6.22</v>
      </c>
      <c r="F85" s="79">
        <v>8.3800000000000008</v>
      </c>
      <c r="G85" s="155">
        <v>14.600000000000001</v>
      </c>
    </row>
    <row r="86" spans="1:7" s="137" customFormat="1" ht="56.25" x14ac:dyDescent="0.2">
      <c r="A86" s="152" t="s">
        <v>295</v>
      </c>
      <c r="B86" s="100" t="s">
        <v>305</v>
      </c>
      <c r="C86" s="153" t="s">
        <v>7</v>
      </c>
      <c r="D86" s="155">
        <v>6.4575757575757571</v>
      </c>
      <c r="E86" s="155">
        <v>7.75</v>
      </c>
      <c r="F86" s="79">
        <v>4.4800000000000004</v>
      </c>
      <c r="G86" s="155">
        <v>12.23</v>
      </c>
    </row>
    <row r="87" spans="1:7" s="137" customFormat="1" ht="37.5" x14ac:dyDescent="0.2">
      <c r="A87" s="152" t="s">
        <v>296</v>
      </c>
      <c r="B87" s="100" t="s">
        <v>216</v>
      </c>
      <c r="C87" s="153" t="s">
        <v>7</v>
      </c>
      <c r="D87" s="155">
        <v>5.1775757575757577</v>
      </c>
      <c r="E87" s="155">
        <v>6.22</v>
      </c>
      <c r="F87" s="79">
        <v>5.58</v>
      </c>
      <c r="G87" s="155">
        <v>11.8</v>
      </c>
    </row>
    <row r="88" spans="1:7" s="137" customFormat="1" ht="29.25" customHeight="1" x14ac:dyDescent="0.2">
      <c r="A88" s="152" t="s">
        <v>301</v>
      </c>
      <c r="B88" s="100" t="s">
        <v>175</v>
      </c>
      <c r="C88" s="153" t="s">
        <v>7</v>
      </c>
      <c r="D88" s="155">
        <v>1.28</v>
      </c>
      <c r="E88" s="155">
        <v>1.54</v>
      </c>
      <c r="F88" s="79">
        <v>2.8</v>
      </c>
      <c r="G88" s="155">
        <v>4.34</v>
      </c>
    </row>
    <row r="89" spans="1:7" s="137" customFormat="1" ht="18.75" customHeight="1" x14ac:dyDescent="0.2">
      <c r="A89" s="149" t="s">
        <v>149</v>
      </c>
      <c r="B89" s="150" t="s">
        <v>181</v>
      </c>
      <c r="C89" s="151"/>
      <c r="D89" s="151"/>
      <c r="E89" s="151"/>
      <c r="F89" s="151"/>
      <c r="G89" s="151"/>
    </row>
    <row r="90" spans="1:7" s="137" customFormat="1" ht="30" customHeight="1" x14ac:dyDescent="0.2">
      <c r="A90" s="152" t="s">
        <v>304</v>
      </c>
      <c r="B90" s="100" t="s">
        <v>221</v>
      </c>
      <c r="C90" s="153" t="s">
        <v>7</v>
      </c>
      <c r="D90" s="155">
        <v>0.84999999999999987</v>
      </c>
      <c r="E90" s="155">
        <v>1.02</v>
      </c>
      <c r="F90" s="79">
        <v>5.58</v>
      </c>
      <c r="G90" s="155">
        <v>6.6</v>
      </c>
    </row>
  </sheetData>
  <mergeCells count="17">
    <mergeCell ref="B89:G89"/>
    <mergeCell ref="B8:G8"/>
    <mergeCell ref="B25:G25"/>
    <mergeCell ref="B26:G26"/>
    <mergeCell ref="B36:G36"/>
    <mergeCell ref="B52:G52"/>
    <mergeCell ref="B73:G73"/>
    <mergeCell ref="A1:G1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0" fitToHeight="0" orientation="portrait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view="pageBreakPreview" zoomScale="90" zoomScaleNormal="90" zoomScaleSheetLayoutView="90" workbookViewId="0">
      <selection activeCell="F10" sqref="F10"/>
    </sheetView>
  </sheetViews>
  <sheetFormatPr defaultColWidth="9.140625" defaultRowHeight="18.75" x14ac:dyDescent="0.3"/>
  <cols>
    <col min="1" max="1" width="10.140625" style="82" customWidth="1"/>
    <col min="2" max="2" width="57.5703125" style="84" customWidth="1"/>
    <col min="3" max="3" width="17.28515625" style="83" customWidth="1"/>
    <col min="4" max="4" width="15.28515625" style="84" customWidth="1"/>
    <col min="5" max="5" width="14.42578125" style="84" customWidth="1"/>
    <col min="6" max="6" width="12.7109375" style="84" customWidth="1"/>
    <col min="7" max="7" width="15.7109375" style="84" customWidth="1"/>
    <col min="8" max="16384" width="9.140625" style="94"/>
  </cols>
  <sheetData>
    <row r="1" spans="1:7" s="95" customFormat="1" x14ac:dyDescent="0.2">
      <c r="A1" s="108" t="s">
        <v>1</v>
      </c>
      <c r="B1" s="108"/>
      <c r="C1" s="108"/>
      <c r="D1" s="108"/>
      <c r="E1" s="108"/>
      <c r="F1" s="108"/>
      <c r="G1" s="108"/>
    </row>
    <row r="2" spans="1:7" s="95" customFormat="1" ht="17.45" customHeight="1" x14ac:dyDescent="0.2">
      <c r="A2" s="109" t="s">
        <v>222</v>
      </c>
      <c r="B2" s="109"/>
      <c r="C2" s="109"/>
      <c r="D2" s="109"/>
      <c r="E2" s="109"/>
      <c r="F2" s="109"/>
      <c r="G2" s="109"/>
    </row>
    <row r="3" spans="1:7" s="95" customFormat="1" ht="17.45" customHeight="1" x14ac:dyDescent="0.2">
      <c r="A3" s="109" t="s">
        <v>227</v>
      </c>
      <c r="B3" s="109"/>
      <c r="C3" s="109"/>
      <c r="D3" s="109"/>
      <c r="E3" s="109"/>
      <c r="F3" s="109"/>
      <c r="G3" s="109"/>
    </row>
    <row r="4" spans="1:7" s="95" customFormat="1" ht="15" customHeight="1" x14ac:dyDescent="0.2">
      <c r="A4" s="76"/>
      <c r="B4" s="76"/>
      <c r="C4" s="76"/>
      <c r="D4" s="76"/>
      <c r="E4" s="76"/>
      <c r="F4" s="76"/>
      <c r="G4" s="76"/>
    </row>
    <row r="5" spans="1:7" s="95" customFormat="1" x14ac:dyDescent="0.2">
      <c r="A5" s="96"/>
      <c r="B5" s="77"/>
      <c r="C5" s="77"/>
      <c r="D5" s="77"/>
      <c r="E5" s="83"/>
      <c r="F5" s="97"/>
      <c r="G5" s="92" t="s">
        <v>226</v>
      </c>
    </row>
    <row r="6" spans="1:7" s="95" customFormat="1" ht="43.15" customHeight="1" x14ac:dyDescent="0.2">
      <c r="A6" s="110" t="s">
        <v>2</v>
      </c>
      <c r="B6" s="112" t="s">
        <v>3</v>
      </c>
      <c r="C6" s="112" t="s">
        <v>4</v>
      </c>
      <c r="D6" s="112" t="s">
        <v>178</v>
      </c>
      <c r="E6" s="112" t="s">
        <v>165</v>
      </c>
      <c r="F6" s="112" t="s">
        <v>150</v>
      </c>
      <c r="G6" s="112" t="s">
        <v>179</v>
      </c>
    </row>
    <row r="7" spans="1:7" s="95" customFormat="1" ht="105" customHeight="1" x14ac:dyDescent="0.2">
      <c r="A7" s="111"/>
      <c r="B7" s="113"/>
      <c r="C7" s="113"/>
      <c r="D7" s="113"/>
      <c r="E7" s="113"/>
      <c r="F7" s="113"/>
      <c r="G7" s="113"/>
    </row>
    <row r="8" spans="1:7" s="95" customFormat="1" x14ac:dyDescent="0.2">
      <c r="A8" s="98">
        <v>1</v>
      </c>
      <c r="B8" s="106" t="s">
        <v>5</v>
      </c>
      <c r="C8" s="107"/>
      <c r="D8" s="107"/>
      <c r="E8" s="107"/>
      <c r="F8" s="107"/>
      <c r="G8" s="107"/>
    </row>
    <row r="9" spans="1:7" s="95" customFormat="1" ht="37.5" x14ac:dyDescent="0.2">
      <c r="A9" s="99" t="s">
        <v>238</v>
      </c>
      <c r="B9" s="85" t="s">
        <v>185</v>
      </c>
      <c r="C9" s="73" t="s">
        <v>6</v>
      </c>
      <c r="D9" s="74"/>
      <c r="E9" s="74"/>
      <c r="F9" s="79">
        <v>8.77</v>
      </c>
      <c r="G9" s="72">
        <v>8.77</v>
      </c>
    </row>
    <row r="10" spans="1:7" s="95" customFormat="1" ht="80.25" customHeight="1" x14ac:dyDescent="0.2">
      <c r="A10" s="101" t="s">
        <v>239</v>
      </c>
      <c r="B10" s="86" t="s">
        <v>186</v>
      </c>
      <c r="C10" s="80" t="s">
        <v>7</v>
      </c>
      <c r="D10" s="81">
        <v>0.9</v>
      </c>
      <c r="E10" s="81">
        <v>1.08</v>
      </c>
      <c r="F10" s="81"/>
      <c r="G10" s="81">
        <v>1.08</v>
      </c>
    </row>
    <row r="11" spans="1:7" s="95" customFormat="1" ht="56.25" x14ac:dyDescent="0.2">
      <c r="A11" s="99" t="s">
        <v>240</v>
      </c>
      <c r="B11" s="85" t="s">
        <v>187</v>
      </c>
      <c r="C11" s="73" t="s">
        <v>8</v>
      </c>
      <c r="D11" s="74"/>
      <c r="E11" s="74"/>
      <c r="F11" s="79">
        <v>4.38</v>
      </c>
      <c r="G11" s="72">
        <v>4.38</v>
      </c>
    </row>
    <row r="12" spans="1:7" s="95" customFormat="1" ht="37.5" x14ac:dyDescent="0.2">
      <c r="A12" s="99" t="s">
        <v>242</v>
      </c>
      <c r="B12" s="85" t="s">
        <v>188</v>
      </c>
      <c r="C12" s="73" t="s">
        <v>7</v>
      </c>
      <c r="D12" s="72">
        <v>0.09</v>
      </c>
      <c r="E12" s="72">
        <v>0.11</v>
      </c>
      <c r="F12" s="79">
        <v>1.73</v>
      </c>
      <c r="G12" s="72">
        <v>1.84</v>
      </c>
    </row>
    <row r="13" spans="1:7" s="95" customFormat="1" ht="56.25" x14ac:dyDescent="0.2">
      <c r="A13" s="99" t="s">
        <v>241</v>
      </c>
      <c r="B13" s="85" t="s">
        <v>189</v>
      </c>
      <c r="C13" s="73" t="s">
        <v>7</v>
      </c>
      <c r="D13" s="72">
        <v>0.09</v>
      </c>
      <c r="E13" s="72">
        <v>0.11</v>
      </c>
      <c r="F13" s="79">
        <v>1.3</v>
      </c>
      <c r="G13" s="72">
        <v>1.4100000000000001</v>
      </c>
    </row>
    <row r="14" spans="1:7" s="95" customFormat="1" ht="56.25" x14ac:dyDescent="0.2">
      <c r="A14" s="99" t="s">
        <v>243</v>
      </c>
      <c r="B14" s="87" t="s">
        <v>190</v>
      </c>
      <c r="C14" s="73" t="s">
        <v>7</v>
      </c>
      <c r="D14" s="74"/>
      <c r="E14" s="74"/>
      <c r="F14" s="79">
        <v>3.52</v>
      </c>
      <c r="G14" s="72">
        <v>3.52</v>
      </c>
    </row>
    <row r="15" spans="1:7" s="95" customFormat="1" ht="37.5" x14ac:dyDescent="0.2">
      <c r="A15" s="99" t="s">
        <v>244</v>
      </c>
      <c r="B15" s="85" t="s">
        <v>191</v>
      </c>
      <c r="C15" s="73" t="s">
        <v>7</v>
      </c>
      <c r="D15" s="72">
        <v>0.37000000000000005</v>
      </c>
      <c r="E15" s="72">
        <v>0.44</v>
      </c>
      <c r="F15" s="79">
        <v>1.3</v>
      </c>
      <c r="G15" s="72">
        <v>1.74</v>
      </c>
    </row>
    <row r="16" spans="1:7" s="95" customFormat="1" ht="41.25" customHeight="1" x14ac:dyDescent="0.2">
      <c r="A16" s="99" t="s">
        <v>245</v>
      </c>
      <c r="B16" s="85" t="s">
        <v>192</v>
      </c>
      <c r="C16" s="73" t="s">
        <v>7</v>
      </c>
      <c r="D16" s="72">
        <v>6.9999999999999993E-2</v>
      </c>
      <c r="E16" s="72">
        <v>0.08</v>
      </c>
      <c r="F16" s="79">
        <v>2.64</v>
      </c>
      <c r="G16" s="72">
        <v>2.72</v>
      </c>
    </row>
    <row r="17" spans="1:7" s="95" customFormat="1" ht="37.5" x14ac:dyDescent="0.2">
      <c r="A17" s="99" t="s">
        <v>246</v>
      </c>
      <c r="B17" s="85" t="s">
        <v>177</v>
      </c>
      <c r="C17" s="73" t="s">
        <v>7</v>
      </c>
      <c r="D17" s="72">
        <v>0.04</v>
      </c>
      <c r="E17" s="72">
        <v>0.05</v>
      </c>
      <c r="F17" s="79">
        <v>1.73</v>
      </c>
      <c r="G17" s="72">
        <v>1.78</v>
      </c>
    </row>
    <row r="18" spans="1:7" s="95" customFormat="1" ht="37.5" x14ac:dyDescent="0.2">
      <c r="A18" s="99" t="s">
        <v>248</v>
      </c>
      <c r="B18" s="85" t="s">
        <v>176</v>
      </c>
      <c r="C18" s="73" t="s">
        <v>7</v>
      </c>
      <c r="D18" s="72">
        <v>0.43000000000000005</v>
      </c>
      <c r="E18" s="72">
        <v>0.52</v>
      </c>
      <c r="F18" s="79">
        <v>1.73</v>
      </c>
      <c r="G18" s="72">
        <v>2.25</v>
      </c>
    </row>
    <row r="19" spans="1:7" s="95" customFormat="1" ht="30" customHeight="1" x14ac:dyDescent="0.2">
      <c r="A19" s="99" t="s">
        <v>251</v>
      </c>
      <c r="B19" s="85" t="s">
        <v>196</v>
      </c>
      <c r="C19" s="73" t="s">
        <v>7</v>
      </c>
      <c r="D19" s="72">
        <v>1.88</v>
      </c>
      <c r="E19" s="72">
        <v>2.2599999999999998</v>
      </c>
      <c r="F19" s="79">
        <v>4.38</v>
      </c>
      <c r="G19" s="72">
        <v>6.64</v>
      </c>
    </row>
    <row r="20" spans="1:7" s="95" customFormat="1" ht="30" customHeight="1" x14ac:dyDescent="0.2">
      <c r="A20" s="99" t="s">
        <v>252</v>
      </c>
      <c r="B20" s="85" t="s">
        <v>197</v>
      </c>
      <c r="C20" s="73" t="s">
        <v>7</v>
      </c>
      <c r="D20" s="72">
        <v>2.88</v>
      </c>
      <c r="E20" s="72">
        <v>3.46</v>
      </c>
      <c r="F20" s="79">
        <v>6.57</v>
      </c>
      <c r="G20" s="72">
        <v>10.030000000000001</v>
      </c>
    </row>
    <row r="21" spans="1:7" s="95" customFormat="1" ht="30" customHeight="1" x14ac:dyDescent="0.2">
      <c r="A21" s="99" t="s">
        <v>247</v>
      </c>
      <c r="B21" s="85" t="s">
        <v>193</v>
      </c>
      <c r="C21" s="73" t="s">
        <v>7</v>
      </c>
      <c r="D21" s="72">
        <v>0.03</v>
      </c>
      <c r="E21" s="72">
        <v>0.04</v>
      </c>
      <c r="F21" s="79">
        <v>2.19</v>
      </c>
      <c r="G21" s="72">
        <v>2.23</v>
      </c>
    </row>
    <row r="22" spans="1:7" s="95" customFormat="1" ht="30" customHeight="1" x14ac:dyDescent="0.2">
      <c r="A22" s="99" t="s">
        <v>249</v>
      </c>
      <c r="B22" s="85" t="s">
        <v>194</v>
      </c>
      <c r="C22" s="73" t="s">
        <v>7</v>
      </c>
      <c r="D22" s="72">
        <v>3.92</v>
      </c>
      <c r="E22" s="72">
        <v>4.7</v>
      </c>
      <c r="F22" s="79">
        <v>5.25</v>
      </c>
      <c r="G22" s="72">
        <v>9.9499999999999993</v>
      </c>
    </row>
    <row r="23" spans="1:7" s="95" customFormat="1" ht="30" customHeight="1" x14ac:dyDescent="0.2">
      <c r="A23" s="99" t="s">
        <v>250</v>
      </c>
      <c r="B23" s="85" t="s">
        <v>195</v>
      </c>
      <c r="C23" s="73" t="s">
        <v>7</v>
      </c>
      <c r="D23" s="72">
        <v>3</v>
      </c>
      <c r="E23" s="72">
        <v>3.6</v>
      </c>
      <c r="F23" s="79">
        <v>2.64</v>
      </c>
      <c r="G23" s="72">
        <v>6.24</v>
      </c>
    </row>
    <row r="24" spans="1:7" s="95" customFormat="1" ht="30" customHeight="1" x14ac:dyDescent="0.2">
      <c r="A24" s="99" t="s">
        <v>303</v>
      </c>
      <c r="B24" s="85" t="s">
        <v>180</v>
      </c>
      <c r="C24" s="73" t="s">
        <v>7</v>
      </c>
      <c r="D24" s="72">
        <v>0.28024242424242418</v>
      </c>
      <c r="E24" s="72">
        <v>0.34</v>
      </c>
      <c r="F24" s="79">
        <v>1.3</v>
      </c>
      <c r="G24" s="72">
        <v>1.6400000000000001</v>
      </c>
    </row>
    <row r="25" spans="1:7" s="95" customFormat="1" x14ac:dyDescent="0.2">
      <c r="A25" s="98">
        <v>2</v>
      </c>
      <c r="B25" s="106" t="s">
        <v>9</v>
      </c>
      <c r="C25" s="107"/>
      <c r="D25" s="107"/>
      <c r="E25" s="107"/>
      <c r="F25" s="107"/>
      <c r="G25" s="107"/>
    </row>
    <row r="26" spans="1:7" s="95" customFormat="1" ht="40.5" customHeight="1" x14ac:dyDescent="0.2">
      <c r="A26" s="99" t="s">
        <v>231</v>
      </c>
      <c r="B26" s="103" t="s">
        <v>198</v>
      </c>
      <c r="C26" s="104"/>
      <c r="D26" s="104"/>
      <c r="E26" s="104"/>
      <c r="F26" s="104"/>
      <c r="G26" s="105"/>
    </row>
    <row r="27" spans="1:7" s="95" customFormat="1" ht="37.5" x14ac:dyDescent="0.2">
      <c r="A27" s="99" t="s">
        <v>232</v>
      </c>
      <c r="B27" s="85" t="s">
        <v>199</v>
      </c>
      <c r="C27" s="73" t="s">
        <v>7</v>
      </c>
      <c r="D27" s="72">
        <v>2.7699999999999996</v>
      </c>
      <c r="E27" s="72">
        <v>3.32</v>
      </c>
      <c r="F27" s="79">
        <v>3.52</v>
      </c>
      <c r="G27" s="72">
        <v>6.84</v>
      </c>
    </row>
    <row r="28" spans="1:7" s="95" customFormat="1" ht="37.5" x14ac:dyDescent="0.2">
      <c r="A28" s="99" t="s">
        <v>233</v>
      </c>
      <c r="B28" s="85" t="s">
        <v>200</v>
      </c>
      <c r="C28" s="73" t="s">
        <v>7</v>
      </c>
      <c r="D28" s="72">
        <v>3.55</v>
      </c>
      <c r="E28" s="72">
        <v>4.26</v>
      </c>
      <c r="F28" s="79">
        <v>5.25</v>
      </c>
      <c r="G28" s="72">
        <v>9.51</v>
      </c>
    </row>
    <row r="29" spans="1:7" s="95" customFormat="1" ht="37.5" x14ac:dyDescent="0.2">
      <c r="A29" s="99" t="s">
        <v>234</v>
      </c>
      <c r="B29" s="85" t="s">
        <v>201</v>
      </c>
      <c r="C29" s="73" t="s">
        <v>7</v>
      </c>
      <c r="D29" s="72">
        <v>4.2699999999999996</v>
      </c>
      <c r="E29" s="72">
        <v>5.12</v>
      </c>
      <c r="F29" s="79">
        <v>7.91</v>
      </c>
      <c r="G29" s="72">
        <v>13.030000000000001</v>
      </c>
    </row>
    <row r="30" spans="1:7" s="95" customFormat="1" ht="37.5" x14ac:dyDescent="0.2">
      <c r="A30" s="99" t="s">
        <v>235</v>
      </c>
      <c r="B30" s="85" t="s">
        <v>202</v>
      </c>
      <c r="C30" s="73" t="s">
        <v>7</v>
      </c>
      <c r="D30" s="72">
        <v>6.41</v>
      </c>
      <c r="E30" s="72">
        <v>7.69</v>
      </c>
      <c r="F30" s="79">
        <v>10.09</v>
      </c>
      <c r="G30" s="72">
        <v>17.78</v>
      </c>
    </row>
    <row r="31" spans="1:7" s="95" customFormat="1" ht="56.25" x14ac:dyDescent="0.2">
      <c r="A31" s="102" t="s">
        <v>257</v>
      </c>
      <c r="B31" s="88" t="s">
        <v>203</v>
      </c>
      <c r="C31" s="73" t="s">
        <v>219</v>
      </c>
      <c r="D31" s="75">
        <v>11.28</v>
      </c>
      <c r="E31" s="75">
        <v>13.54</v>
      </c>
      <c r="F31" s="79">
        <v>4.38</v>
      </c>
      <c r="G31" s="72">
        <v>17.919999999999998</v>
      </c>
    </row>
    <row r="32" spans="1:7" s="95" customFormat="1" ht="56.25" x14ac:dyDescent="0.2">
      <c r="A32" s="102" t="s">
        <v>254</v>
      </c>
      <c r="B32" s="91" t="s">
        <v>230</v>
      </c>
      <c r="C32" s="73" t="s">
        <v>228</v>
      </c>
      <c r="D32" s="75">
        <v>5.86</v>
      </c>
      <c r="E32" s="75">
        <v>7.03</v>
      </c>
      <c r="F32" s="79">
        <v>3.52</v>
      </c>
      <c r="G32" s="72">
        <v>10.55</v>
      </c>
    </row>
    <row r="33" spans="1:7" s="95" customFormat="1" ht="56.25" x14ac:dyDescent="0.2">
      <c r="A33" s="102" t="s">
        <v>255</v>
      </c>
      <c r="B33" s="91" t="s">
        <v>230</v>
      </c>
      <c r="C33" s="73" t="s">
        <v>229</v>
      </c>
      <c r="D33" s="75">
        <v>3.2</v>
      </c>
      <c r="E33" s="75">
        <v>3.8400000000000003</v>
      </c>
      <c r="F33" s="79">
        <v>3.52</v>
      </c>
      <c r="G33" s="72">
        <v>7.36</v>
      </c>
    </row>
    <row r="34" spans="1:7" s="95" customFormat="1" ht="56.25" x14ac:dyDescent="0.2">
      <c r="A34" s="102" t="s">
        <v>256</v>
      </c>
      <c r="B34" s="91" t="s">
        <v>230</v>
      </c>
      <c r="C34" s="73" t="s">
        <v>219</v>
      </c>
      <c r="D34" s="75">
        <v>2.0499999999999998</v>
      </c>
      <c r="E34" s="75">
        <v>2.46</v>
      </c>
      <c r="F34" s="79">
        <v>3.52</v>
      </c>
      <c r="G34" s="72">
        <v>5.98</v>
      </c>
    </row>
    <row r="35" spans="1:7" s="95" customFormat="1" ht="56.25" x14ac:dyDescent="0.2">
      <c r="A35" s="102" t="s">
        <v>253</v>
      </c>
      <c r="B35" s="91" t="s">
        <v>236</v>
      </c>
      <c r="C35" s="73" t="s">
        <v>237</v>
      </c>
      <c r="D35" s="75">
        <v>0.61</v>
      </c>
      <c r="E35" s="75">
        <v>0.73</v>
      </c>
      <c r="F35" s="79">
        <v>3.52</v>
      </c>
      <c r="G35" s="72">
        <v>4.25</v>
      </c>
    </row>
    <row r="36" spans="1:7" s="95" customFormat="1" ht="18.75" customHeight="1" x14ac:dyDescent="0.2">
      <c r="A36" s="99"/>
      <c r="B36" s="103" t="s">
        <v>184</v>
      </c>
      <c r="C36" s="104"/>
      <c r="D36" s="104"/>
      <c r="E36" s="104"/>
      <c r="F36" s="104"/>
      <c r="G36" s="105"/>
    </row>
    <row r="37" spans="1:7" s="95" customFormat="1" ht="37.5" x14ac:dyDescent="0.2">
      <c r="A37" s="99" t="s">
        <v>258</v>
      </c>
      <c r="B37" s="85" t="s">
        <v>204</v>
      </c>
      <c r="C37" s="73" t="s">
        <v>7</v>
      </c>
      <c r="D37" s="72">
        <v>12.81</v>
      </c>
      <c r="E37" s="72">
        <v>15.37</v>
      </c>
      <c r="F37" s="79">
        <v>5.25</v>
      </c>
      <c r="G37" s="72">
        <v>20.619999999999997</v>
      </c>
    </row>
    <row r="38" spans="1:7" s="95" customFormat="1" ht="37.5" x14ac:dyDescent="0.2">
      <c r="A38" s="99" t="s">
        <v>259</v>
      </c>
      <c r="B38" s="85" t="s">
        <v>205</v>
      </c>
      <c r="C38" s="73" t="s">
        <v>7</v>
      </c>
      <c r="D38" s="72">
        <v>12.81</v>
      </c>
      <c r="E38" s="72">
        <v>15.37</v>
      </c>
      <c r="F38" s="79">
        <v>7.91</v>
      </c>
      <c r="G38" s="72">
        <v>23.28</v>
      </c>
    </row>
    <row r="39" spans="1:7" s="95" customFormat="1" ht="30" customHeight="1" x14ac:dyDescent="0.2">
      <c r="A39" s="99" t="s">
        <v>260</v>
      </c>
      <c r="B39" s="85" t="s">
        <v>206</v>
      </c>
      <c r="C39" s="73" t="s">
        <v>7</v>
      </c>
      <c r="D39" s="72">
        <v>0.64</v>
      </c>
      <c r="E39" s="72">
        <v>0.77</v>
      </c>
      <c r="F39" s="79">
        <v>1.73</v>
      </c>
      <c r="G39" s="72">
        <v>2.5</v>
      </c>
    </row>
    <row r="40" spans="1:7" s="95" customFormat="1" ht="37.5" x14ac:dyDescent="0.2">
      <c r="A40" s="99" t="s">
        <v>263</v>
      </c>
      <c r="B40" s="78" t="s">
        <v>208</v>
      </c>
      <c r="C40" s="73" t="s">
        <v>7</v>
      </c>
      <c r="D40" s="72">
        <v>3.4399999999999995</v>
      </c>
      <c r="E40" s="72">
        <v>4.13</v>
      </c>
      <c r="F40" s="79">
        <v>4.38</v>
      </c>
      <c r="G40" s="72">
        <v>8.51</v>
      </c>
    </row>
    <row r="41" spans="1:7" s="95" customFormat="1" ht="46.5" customHeight="1" x14ac:dyDescent="0.2">
      <c r="A41" s="99" t="s">
        <v>264</v>
      </c>
      <c r="B41" s="78" t="s">
        <v>166</v>
      </c>
      <c r="C41" s="73" t="s">
        <v>7</v>
      </c>
      <c r="D41" s="72">
        <v>5.53</v>
      </c>
      <c r="E41" s="72">
        <v>6.64</v>
      </c>
      <c r="F41" s="79">
        <v>9.65</v>
      </c>
      <c r="G41" s="72">
        <v>16.29</v>
      </c>
    </row>
    <row r="42" spans="1:7" s="95" customFormat="1" ht="30" customHeight="1" x14ac:dyDescent="0.2">
      <c r="A42" s="99" t="s">
        <v>261</v>
      </c>
      <c r="B42" s="85" t="s">
        <v>207</v>
      </c>
      <c r="C42" s="73" t="s">
        <v>7</v>
      </c>
      <c r="D42" s="72">
        <v>0.01</v>
      </c>
      <c r="E42" s="72">
        <v>0.01</v>
      </c>
      <c r="F42" s="79">
        <v>1.3</v>
      </c>
      <c r="G42" s="72">
        <v>1.31</v>
      </c>
    </row>
    <row r="43" spans="1:7" s="95" customFormat="1" ht="30" customHeight="1" x14ac:dyDescent="0.2">
      <c r="A43" s="99" t="s">
        <v>262</v>
      </c>
      <c r="B43" s="85" t="s">
        <v>138</v>
      </c>
      <c r="C43" s="73" t="s">
        <v>7</v>
      </c>
      <c r="D43" s="72">
        <v>0.09</v>
      </c>
      <c r="E43" s="72">
        <v>0.11</v>
      </c>
      <c r="F43" s="79">
        <v>2.19</v>
      </c>
      <c r="G43" s="72">
        <v>2.2999999999999998</v>
      </c>
    </row>
    <row r="44" spans="1:7" s="95" customFormat="1" ht="30" customHeight="1" x14ac:dyDescent="0.2">
      <c r="A44" s="99" t="s">
        <v>266</v>
      </c>
      <c r="B44" s="85" t="s">
        <v>139</v>
      </c>
      <c r="C44" s="73" t="s">
        <v>7</v>
      </c>
      <c r="D44" s="72">
        <v>0.19</v>
      </c>
      <c r="E44" s="72">
        <v>0.23</v>
      </c>
      <c r="F44" s="79">
        <v>2.19</v>
      </c>
      <c r="G44" s="72">
        <v>2.42</v>
      </c>
    </row>
    <row r="45" spans="1:7" s="95" customFormat="1" ht="60.75" customHeight="1" x14ac:dyDescent="0.2">
      <c r="A45" s="99" t="s">
        <v>267</v>
      </c>
      <c r="B45" s="85" t="s">
        <v>140</v>
      </c>
      <c r="C45" s="73" t="s">
        <v>7</v>
      </c>
      <c r="D45" s="72">
        <v>4.4300000000000006</v>
      </c>
      <c r="E45" s="72">
        <v>5.32</v>
      </c>
      <c r="F45" s="79">
        <v>8.77</v>
      </c>
      <c r="G45" s="72">
        <v>14.09</v>
      </c>
    </row>
    <row r="46" spans="1:7" s="95" customFormat="1" ht="28.5" customHeight="1" x14ac:dyDescent="0.2">
      <c r="A46" s="99" t="s">
        <v>183</v>
      </c>
      <c r="B46" s="78" t="s">
        <v>141</v>
      </c>
      <c r="C46" s="73" t="s">
        <v>7</v>
      </c>
      <c r="D46" s="72">
        <v>0.01</v>
      </c>
      <c r="E46" s="72">
        <v>0.01</v>
      </c>
      <c r="F46" s="79">
        <v>2.19</v>
      </c>
      <c r="G46" s="72">
        <v>2.1999999999999997</v>
      </c>
    </row>
    <row r="47" spans="1:7" s="95" customFormat="1" ht="56.25" x14ac:dyDescent="0.2">
      <c r="A47" s="99" t="s">
        <v>182</v>
      </c>
      <c r="B47" s="85" t="s">
        <v>142</v>
      </c>
      <c r="C47" s="73" t="s">
        <v>7</v>
      </c>
      <c r="D47" s="72">
        <v>0.03</v>
      </c>
      <c r="E47" s="72">
        <v>0.04</v>
      </c>
      <c r="F47" s="79">
        <v>3.52</v>
      </c>
      <c r="G47" s="72">
        <v>3.56</v>
      </c>
    </row>
    <row r="48" spans="1:7" s="95" customFormat="1" ht="30" customHeight="1" x14ac:dyDescent="0.2">
      <c r="A48" s="99" t="s">
        <v>268</v>
      </c>
      <c r="B48" s="85" t="s">
        <v>167</v>
      </c>
      <c r="C48" s="73" t="s">
        <v>7</v>
      </c>
      <c r="D48" s="72">
        <v>3.0999999999999996</v>
      </c>
      <c r="E48" s="72">
        <v>3.72</v>
      </c>
      <c r="F48" s="79">
        <v>3.52</v>
      </c>
      <c r="G48" s="72">
        <v>7.24</v>
      </c>
    </row>
    <row r="49" spans="1:7" s="95" customFormat="1" ht="30" customHeight="1" x14ac:dyDescent="0.2">
      <c r="A49" s="99" t="s">
        <v>269</v>
      </c>
      <c r="B49" s="85" t="s">
        <v>168</v>
      </c>
      <c r="C49" s="73" t="s">
        <v>7</v>
      </c>
      <c r="D49" s="72">
        <v>4.49</v>
      </c>
      <c r="E49" s="72">
        <v>5.39</v>
      </c>
      <c r="F49" s="79">
        <v>10.97</v>
      </c>
      <c r="G49" s="72">
        <v>16.36</v>
      </c>
    </row>
    <row r="50" spans="1:7" s="95" customFormat="1" ht="37.5" customHeight="1" x14ac:dyDescent="0.2">
      <c r="A50" s="99" t="s">
        <v>270</v>
      </c>
      <c r="B50" s="85" t="s">
        <v>169</v>
      </c>
      <c r="C50" s="73" t="s">
        <v>7</v>
      </c>
      <c r="D50" s="72">
        <v>7.91</v>
      </c>
      <c r="E50" s="72">
        <v>9.49</v>
      </c>
      <c r="F50" s="79">
        <v>13.18</v>
      </c>
      <c r="G50" s="72">
        <v>22.67</v>
      </c>
    </row>
    <row r="51" spans="1:7" s="95" customFormat="1" ht="56.25" x14ac:dyDescent="0.2">
      <c r="A51" s="99" t="s">
        <v>265</v>
      </c>
      <c r="B51" s="78" t="s">
        <v>143</v>
      </c>
      <c r="C51" s="73" t="s">
        <v>7</v>
      </c>
      <c r="D51" s="72">
        <v>2.92</v>
      </c>
      <c r="E51" s="72">
        <v>3.5</v>
      </c>
      <c r="F51" s="79">
        <v>7.91</v>
      </c>
      <c r="G51" s="72">
        <v>11.41</v>
      </c>
    </row>
    <row r="52" spans="1:7" s="95" customFormat="1" ht="40.5" customHeight="1" x14ac:dyDescent="0.2">
      <c r="A52" s="99" t="s">
        <v>307</v>
      </c>
      <c r="B52" s="103" t="s">
        <v>209</v>
      </c>
      <c r="C52" s="104"/>
      <c r="D52" s="104"/>
      <c r="E52" s="104"/>
      <c r="F52" s="104"/>
      <c r="G52" s="105"/>
    </row>
    <row r="53" spans="1:7" s="95" customFormat="1" ht="37.5" x14ac:dyDescent="0.2">
      <c r="A53" s="99" t="s">
        <v>271</v>
      </c>
      <c r="B53" s="89" t="s">
        <v>210</v>
      </c>
      <c r="C53" s="73" t="s">
        <v>217</v>
      </c>
      <c r="D53" s="72">
        <v>5.43</v>
      </c>
      <c r="E53" s="72">
        <v>5.97</v>
      </c>
      <c r="F53" s="79">
        <v>8.77</v>
      </c>
      <c r="G53" s="72">
        <v>14.739999999999998</v>
      </c>
    </row>
    <row r="54" spans="1:7" s="95" customFormat="1" ht="37.5" x14ac:dyDescent="0.2">
      <c r="A54" s="99" t="s">
        <v>272</v>
      </c>
      <c r="B54" s="89" t="s">
        <v>211</v>
      </c>
      <c r="C54" s="73" t="s">
        <v>217</v>
      </c>
      <c r="D54" s="72">
        <v>8.15</v>
      </c>
      <c r="E54" s="72">
        <v>9.7799999999999994</v>
      </c>
      <c r="F54" s="79">
        <v>10.97</v>
      </c>
      <c r="G54" s="72">
        <v>20.75</v>
      </c>
    </row>
    <row r="55" spans="1:7" s="95" customFormat="1" ht="37.5" x14ac:dyDescent="0.2">
      <c r="A55" s="99" t="s">
        <v>273</v>
      </c>
      <c r="B55" s="89" t="s">
        <v>212</v>
      </c>
      <c r="C55" s="73" t="s">
        <v>217</v>
      </c>
      <c r="D55" s="72">
        <v>10.87</v>
      </c>
      <c r="E55" s="72">
        <v>13.04</v>
      </c>
      <c r="F55" s="79">
        <v>13.18</v>
      </c>
      <c r="G55" s="72">
        <v>26.22</v>
      </c>
    </row>
    <row r="56" spans="1:7" s="95" customFormat="1" ht="37.5" x14ac:dyDescent="0.2">
      <c r="A56" s="99" t="s">
        <v>274</v>
      </c>
      <c r="B56" s="89" t="s">
        <v>213</v>
      </c>
      <c r="C56" s="73" t="s">
        <v>217</v>
      </c>
      <c r="D56" s="72">
        <v>13.58</v>
      </c>
      <c r="E56" s="72">
        <v>16.3</v>
      </c>
      <c r="F56" s="79">
        <v>15.35</v>
      </c>
      <c r="G56" s="72">
        <v>31.65</v>
      </c>
    </row>
    <row r="57" spans="1:7" s="95" customFormat="1" ht="37.5" x14ac:dyDescent="0.2">
      <c r="A57" s="99" t="s">
        <v>275</v>
      </c>
      <c r="B57" s="89" t="s">
        <v>210</v>
      </c>
      <c r="C57" s="73" t="s">
        <v>218</v>
      </c>
      <c r="D57" s="72">
        <v>4.5</v>
      </c>
      <c r="E57" s="72">
        <v>4.95</v>
      </c>
      <c r="F57" s="79">
        <v>8.77</v>
      </c>
      <c r="G57" s="72">
        <v>13.719999999999999</v>
      </c>
    </row>
    <row r="58" spans="1:7" s="95" customFormat="1" ht="37.5" x14ac:dyDescent="0.2">
      <c r="A58" s="99" t="s">
        <v>276</v>
      </c>
      <c r="B58" s="89" t="s">
        <v>211</v>
      </c>
      <c r="C58" s="73" t="s">
        <v>218</v>
      </c>
      <c r="D58" s="72">
        <v>6.76</v>
      </c>
      <c r="E58" s="72">
        <v>8.11</v>
      </c>
      <c r="F58" s="79">
        <v>10.97</v>
      </c>
      <c r="G58" s="72">
        <v>19.079999999999998</v>
      </c>
    </row>
    <row r="59" spans="1:7" s="95" customFormat="1" ht="37.5" x14ac:dyDescent="0.2">
      <c r="A59" s="99" t="s">
        <v>277</v>
      </c>
      <c r="B59" s="89" t="s">
        <v>212</v>
      </c>
      <c r="C59" s="73" t="s">
        <v>218</v>
      </c>
      <c r="D59" s="72">
        <v>9.01</v>
      </c>
      <c r="E59" s="72">
        <v>10.81</v>
      </c>
      <c r="F59" s="79">
        <v>13.18</v>
      </c>
      <c r="G59" s="72">
        <v>23.990000000000002</v>
      </c>
    </row>
    <row r="60" spans="1:7" s="95" customFormat="1" ht="37.5" x14ac:dyDescent="0.2">
      <c r="A60" s="99" t="s">
        <v>278</v>
      </c>
      <c r="B60" s="89" t="s">
        <v>213</v>
      </c>
      <c r="C60" s="73" t="s">
        <v>218</v>
      </c>
      <c r="D60" s="72">
        <v>11.26</v>
      </c>
      <c r="E60" s="72">
        <v>13.51</v>
      </c>
      <c r="F60" s="79">
        <v>15.35</v>
      </c>
      <c r="G60" s="72">
        <v>28.86</v>
      </c>
    </row>
    <row r="61" spans="1:7" s="95" customFormat="1" ht="37.5" x14ac:dyDescent="0.2">
      <c r="A61" s="99" t="s">
        <v>279</v>
      </c>
      <c r="B61" s="89" t="s">
        <v>210</v>
      </c>
      <c r="C61" s="73" t="s">
        <v>219</v>
      </c>
      <c r="D61" s="72">
        <v>7.52</v>
      </c>
      <c r="E61" s="72">
        <v>9.02</v>
      </c>
      <c r="F61" s="79">
        <v>8.77</v>
      </c>
      <c r="G61" s="72">
        <v>17.79</v>
      </c>
    </row>
    <row r="62" spans="1:7" s="95" customFormat="1" ht="37.5" x14ac:dyDescent="0.2">
      <c r="A62" s="99" t="s">
        <v>280</v>
      </c>
      <c r="B62" s="89" t="s">
        <v>211</v>
      </c>
      <c r="C62" s="73" t="s">
        <v>219</v>
      </c>
      <c r="D62" s="72">
        <v>11.28</v>
      </c>
      <c r="E62" s="72">
        <v>13.54</v>
      </c>
      <c r="F62" s="79">
        <v>10.97</v>
      </c>
      <c r="G62" s="72">
        <v>24.509999999999998</v>
      </c>
    </row>
    <row r="63" spans="1:7" s="95" customFormat="1" ht="37.5" x14ac:dyDescent="0.2">
      <c r="A63" s="99" t="s">
        <v>281</v>
      </c>
      <c r="B63" s="89" t="s">
        <v>212</v>
      </c>
      <c r="C63" s="73" t="s">
        <v>219</v>
      </c>
      <c r="D63" s="72">
        <v>15.03</v>
      </c>
      <c r="E63" s="72">
        <v>18.04</v>
      </c>
      <c r="F63" s="79">
        <v>13.18</v>
      </c>
      <c r="G63" s="72">
        <v>31.22</v>
      </c>
    </row>
    <row r="64" spans="1:7" s="95" customFormat="1" ht="37.5" x14ac:dyDescent="0.2">
      <c r="A64" s="99" t="s">
        <v>282</v>
      </c>
      <c r="B64" s="89" t="s">
        <v>213</v>
      </c>
      <c r="C64" s="73" t="s">
        <v>219</v>
      </c>
      <c r="D64" s="72">
        <v>18.79</v>
      </c>
      <c r="E64" s="72">
        <v>22.55</v>
      </c>
      <c r="F64" s="79">
        <v>15.35</v>
      </c>
      <c r="G64" s="72">
        <v>37.9</v>
      </c>
    </row>
    <row r="65" spans="1:7" s="95" customFormat="1" ht="37.5" x14ac:dyDescent="0.2">
      <c r="A65" s="99" t="s">
        <v>283</v>
      </c>
      <c r="B65" s="89" t="s">
        <v>210</v>
      </c>
      <c r="C65" s="73" t="s">
        <v>223</v>
      </c>
      <c r="D65" s="72">
        <v>4.68</v>
      </c>
      <c r="E65" s="72">
        <v>5.6199999999999992</v>
      </c>
      <c r="F65" s="79">
        <v>8.77</v>
      </c>
      <c r="G65" s="72">
        <v>14.389999999999999</v>
      </c>
    </row>
    <row r="66" spans="1:7" s="95" customFormat="1" ht="37.5" x14ac:dyDescent="0.2">
      <c r="A66" s="99" t="s">
        <v>284</v>
      </c>
      <c r="B66" s="89" t="s">
        <v>211</v>
      </c>
      <c r="C66" s="73" t="s">
        <v>223</v>
      </c>
      <c r="D66" s="72">
        <v>7.02</v>
      </c>
      <c r="E66" s="72">
        <v>7.72</v>
      </c>
      <c r="F66" s="79">
        <v>10.97</v>
      </c>
      <c r="G66" s="72">
        <v>18.690000000000001</v>
      </c>
    </row>
    <row r="67" spans="1:7" s="95" customFormat="1" ht="37.5" x14ac:dyDescent="0.2">
      <c r="A67" s="99" t="s">
        <v>285</v>
      </c>
      <c r="B67" s="89" t="s">
        <v>212</v>
      </c>
      <c r="C67" s="73" t="s">
        <v>224</v>
      </c>
      <c r="D67" s="72">
        <v>9.36</v>
      </c>
      <c r="E67" s="72">
        <v>10.299999999999999</v>
      </c>
      <c r="F67" s="79">
        <v>13.18</v>
      </c>
      <c r="G67" s="72">
        <v>23.479999999999997</v>
      </c>
    </row>
    <row r="68" spans="1:7" s="95" customFormat="1" ht="37.5" x14ac:dyDescent="0.2">
      <c r="A68" s="99" t="s">
        <v>286</v>
      </c>
      <c r="B68" s="89" t="s">
        <v>213</v>
      </c>
      <c r="C68" s="73" t="s">
        <v>224</v>
      </c>
      <c r="D68" s="72">
        <v>11.7</v>
      </c>
      <c r="E68" s="72">
        <v>12.87</v>
      </c>
      <c r="F68" s="79">
        <v>15.35</v>
      </c>
      <c r="G68" s="72">
        <v>28.22</v>
      </c>
    </row>
    <row r="69" spans="1:7" s="95" customFormat="1" ht="37.5" x14ac:dyDescent="0.2">
      <c r="A69" s="99" t="s">
        <v>287</v>
      </c>
      <c r="B69" s="89" t="s">
        <v>210</v>
      </c>
      <c r="C69" s="73" t="s">
        <v>225</v>
      </c>
      <c r="D69" s="72">
        <v>1.38</v>
      </c>
      <c r="E69" s="72">
        <v>1.66</v>
      </c>
      <c r="F69" s="79">
        <v>8.77</v>
      </c>
      <c r="G69" s="72">
        <v>10.43</v>
      </c>
    </row>
    <row r="70" spans="1:7" s="95" customFormat="1" ht="37.5" x14ac:dyDescent="0.2">
      <c r="A70" s="99" t="s">
        <v>288</v>
      </c>
      <c r="B70" s="89" t="s">
        <v>211</v>
      </c>
      <c r="C70" s="73" t="s">
        <v>225</v>
      </c>
      <c r="D70" s="72">
        <v>2.06</v>
      </c>
      <c r="E70" s="72">
        <v>2.27</v>
      </c>
      <c r="F70" s="79">
        <v>10.97</v>
      </c>
      <c r="G70" s="72">
        <v>13.24</v>
      </c>
    </row>
    <row r="71" spans="1:7" s="95" customFormat="1" ht="37.5" x14ac:dyDescent="0.2">
      <c r="A71" s="99" t="s">
        <v>289</v>
      </c>
      <c r="B71" s="89" t="s">
        <v>212</v>
      </c>
      <c r="C71" s="73" t="s">
        <v>225</v>
      </c>
      <c r="D71" s="72">
        <v>2.75</v>
      </c>
      <c r="E71" s="72">
        <v>3.0300000000000002</v>
      </c>
      <c r="F71" s="79">
        <v>13.18</v>
      </c>
      <c r="G71" s="72">
        <v>16.21</v>
      </c>
    </row>
    <row r="72" spans="1:7" s="95" customFormat="1" ht="37.5" x14ac:dyDescent="0.2">
      <c r="A72" s="99" t="s">
        <v>290</v>
      </c>
      <c r="B72" s="89" t="s">
        <v>213</v>
      </c>
      <c r="C72" s="73" t="s">
        <v>225</v>
      </c>
      <c r="D72" s="72">
        <v>3.44</v>
      </c>
      <c r="E72" s="72">
        <v>3.78</v>
      </c>
      <c r="F72" s="79">
        <v>15.35</v>
      </c>
      <c r="G72" s="72">
        <v>19.13</v>
      </c>
    </row>
    <row r="73" spans="1:7" s="95" customFormat="1" ht="40.5" customHeight="1" x14ac:dyDescent="0.2">
      <c r="A73" s="99" t="s">
        <v>291</v>
      </c>
      <c r="B73" s="103" t="s">
        <v>214</v>
      </c>
      <c r="C73" s="104"/>
      <c r="D73" s="104"/>
      <c r="E73" s="104"/>
      <c r="F73" s="104"/>
      <c r="G73" s="105"/>
    </row>
    <row r="74" spans="1:7" s="95" customFormat="1" ht="37.5" x14ac:dyDescent="0.2">
      <c r="A74" s="99" t="s">
        <v>291</v>
      </c>
      <c r="B74" s="90" t="s">
        <v>210</v>
      </c>
      <c r="C74" s="73" t="s">
        <v>220</v>
      </c>
      <c r="D74" s="72">
        <v>2.2799999999999994</v>
      </c>
      <c r="E74" s="72">
        <v>2.74</v>
      </c>
      <c r="F74" s="79">
        <v>8.77</v>
      </c>
      <c r="G74" s="72">
        <v>11.51</v>
      </c>
    </row>
    <row r="75" spans="1:7" s="95" customFormat="1" ht="37.5" x14ac:dyDescent="0.2">
      <c r="A75" s="102" t="s">
        <v>309</v>
      </c>
      <c r="B75" s="88" t="s">
        <v>211</v>
      </c>
      <c r="C75" s="73" t="s">
        <v>220</v>
      </c>
      <c r="D75" s="72">
        <v>3.0399999999999996</v>
      </c>
      <c r="E75" s="72">
        <v>3.65</v>
      </c>
      <c r="F75" s="79">
        <v>10.97</v>
      </c>
      <c r="G75" s="72">
        <v>14.620000000000001</v>
      </c>
    </row>
    <row r="76" spans="1:7" s="95" customFormat="1" ht="37.5" x14ac:dyDescent="0.2">
      <c r="A76" s="102" t="s">
        <v>308</v>
      </c>
      <c r="B76" s="88" t="s">
        <v>212</v>
      </c>
      <c r="C76" s="73" t="s">
        <v>220</v>
      </c>
      <c r="D76" s="72">
        <v>3.7999999999999994</v>
      </c>
      <c r="E76" s="72">
        <v>4.5599999999999996</v>
      </c>
      <c r="F76" s="79">
        <v>13.18</v>
      </c>
      <c r="G76" s="72">
        <v>17.739999999999998</v>
      </c>
    </row>
    <row r="77" spans="1:7" s="95" customFormat="1" ht="37.5" x14ac:dyDescent="0.2">
      <c r="A77" s="102" t="s">
        <v>310</v>
      </c>
      <c r="B77" s="88" t="s">
        <v>213</v>
      </c>
      <c r="C77" s="73" t="s">
        <v>220</v>
      </c>
      <c r="D77" s="72">
        <v>4.5599999999999987</v>
      </c>
      <c r="E77" s="72">
        <v>5.47</v>
      </c>
      <c r="F77" s="79">
        <v>15.35</v>
      </c>
      <c r="G77" s="72">
        <v>20.82</v>
      </c>
    </row>
    <row r="78" spans="1:7" s="95" customFormat="1" ht="37.5" x14ac:dyDescent="0.2">
      <c r="A78" s="99" t="s">
        <v>297</v>
      </c>
      <c r="B78" s="85" t="s">
        <v>170</v>
      </c>
      <c r="C78" s="73" t="s">
        <v>7</v>
      </c>
      <c r="D78" s="72">
        <v>6.51</v>
      </c>
      <c r="E78" s="72">
        <v>7.81</v>
      </c>
      <c r="F78" s="79">
        <v>8.77</v>
      </c>
      <c r="G78" s="72">
        <v>16.579999999999998</v>
      </c>
    </row>
    <row r="79" spans="1:7" s="95" customFormat="1" ht="75" x14ac:dyDescent="0.2">
      <c r="A79" s="99" t="s">
        <v>302</v>
      </c>
      <c r="B79" s="85" t="s">
        <v>171</v>
      </c>
      <c r="C79" s="73" t="s">
        <v>7</v>
      </c>
      <c r="D79" s="72">
        <v>4.3499999999999996</v>
      </c>
      <c r="E79" s="72">
        <v>5.22</v>
      </c>
      <c r="F79" s="79">
        <v>10.97</v>
      </c>
      <c r="G79" s="72">
        <v>16.190000000000001</v>
      </c>
    </row>
    <row r="80" spans="1:7" s="95" customFormat="1" ht="56.25" x14ac:dyDescent="0.2">
      <c r="A80" s="99" t="s">
        <v>298</v>
      </c>
      <c r="B80" s="85" t="s">
        <v>172</v>
      </c>
      <c r="C80" s="73" t="s">
        <v>7</v>
      </c>
      <c r="D80" s="72">
        <v>1.08</v>
      </c>
      <c r="E80" s="72">
        <v>1.3</v>
      </c>
      <c r="F80" s="79">
        <v>10.97</v>
      </c>
      <c r="G80" s="72">
        <v>12.270000000000001</v>
      </c>
    </row>
    <row r="81" spans="1:7" s="95" customFormat="1" ht="37.5" x14ac:dyDescent="0.2">
      <c r="A81" s="99" t="s">
        <v>292</v>
      </c>
      <c r="B81" s="85" t="s">
        <v>215</v>
      </c>
      <c r="C81" s="73" t="s">
        <v>7</v>
      </c>
      <c r="D81" s="72">
        <v>1.0900000000000001</v>
      </c>
      <c r="E81" s="72">
        <v>1.31</v>
      </c>
      <c r="F81" s="79">
        <v>8.77</v>
      </c>
      <c r="G81" s="72">
        <v>10.08</v>
      </c>
    </row>
    <row r="82" spans="1:7" s="95" customFormat="1" ht="37.5" x14ac:dyDescent="0.2">
      <c r="A82" s="99" t="s">
        <v>299</v>
      </c>
      <c r="B82" s="85" t="s">
        <v>173</v>
      </c>
      <c r="C82" s="73" t="s">
        <v>7</v>
      </c>
      <c r="D82" s="72">
        <v>1.0900000000000001</v>
      </c>
      <c r="E82" s="72">
        <v>1.31</v>
      </c>
      <c r="F82" s="79">
        <v>4.38</v>
      </c>
      <c r="G82" s="72">
        <v>5.6899999999999995</v>
      </c>
    </row>
    <row r="83" spans="1:7" s="95" customFormat="1" ht="56.25" x14ac:dyDescent="0.2">
      <c r="A83" s="99" t="s">
        <v>300</v>
      </c>
      <c r="B83" s="85" t="s">
        <v>174</v>
      </c>
      <c r="C83" s="73" t="s">
        <v>7</v>
      </c>
      <c r="D83" s="72">
        <v>1.0900000000000001</v>
      </c>
      <c r="E83" s="72">
        <v>1.31</v>
      </c>
      <c r="F83" s="79">
        <v>6.57</v>
      </c>
      <c r="G83" s="72">
        <v>7.8800000000000008</v>
      </c>
    </row>
    <row r="84" spans="1:7" s="95" customFormat="1" ht="30" customHeight="1" x14ac:dyDescent="0.2">
      <c r="A84" s="99" t="s">
        <v>293</v>
      </c>
      <c r="B84" s="85" t="s">
        <v>148</v>
      </c>
      <c r="C84" s="73" t="s">
        <v>7</v>
      </c>
      <c r="D84" s="72">
        <v>3.24</v>
      </c>
      <c r="E84" s="72">
        <v>3.89</v>
      </c>
      <c r="F84" s="79">
        <v>1.73</v>
      </c>
      <c r="G84" s="72">
        <v>5.62</v>
      </c>
    </row>
    <row r="85" spans="1:7" s="95" customFormat="1" ht="56.25" x14ac:dyDescent="0.2">
      <c r="A85" s="99" t="s">
        <v>294</v>
      </c>
      <c r="B85" s="85" t="s">
        <v>306</v>
      </c>
      <c r="C85" s="73" t="s">
        <v>7</v>
      </c>
      <c r="D85" s="72">
        <v>5.1775757575757577</v>
      </c>
      <c r="E85" s="72">
        <v>6.22</v>
      </c>
      <c r="F85" s="79">
        <v>6.57</v>
      </c>
      <c r="G85" s="72">
        <v>12.79</v>
      </c>
    </row>
    <row r="86" spans="1:7" s="95" customFormat="1" ht="56.25" x14ac:dyDescent="0.2">
      <c r="A86" s="99" t="s">
        <v>295</v>
      </c>
      <c r="B86" s="85" t="s">
        <v>305</v>
      </c>
      <c r="C86" s="73" t="s">
        <v>7</v>
      </c>
      <c r="D86" s="72">
        <v>6.4575757575757571</v>
      </c>
      <c r="E86" s="72">
        <v>7.75</v>
      </c>
      <c r="F86" s="79">
        <v>3.52</v>
      </c>
      <c r="G86" s="72">
        <v>11.27</v>
      </c>
    </row>
    <row r="87" spans="1:7" s="95" customFormat="1" ht="37.5" x14ac:dyDescent="0.2">
      <c r="A87" s="99" t="s">
        <v>296</v>
      </c>
      <c r="B87" s="85" t="s">
        <v>216</v>
      </c>
      <c r="C87" s="73" t="s">
        <v>7</v>
      </c>
      <c r="D87" s="72">
        <v>5.1775757575757577</v>
      </c>
      <c r="E87" s="72">
        <v>6.22</v>
      </c>
      <c r="F87" s="79">
        <v>4.38</v>
      </c>
      <c r="G87" s="72">
        <v>10.6</v>
      </c>
    </row>
    <row r="88" spans="1:7" s="95" customFormat="1" ht="29.25" customHeight="1" x14ac:dyDescent="0.2">
      <c r="A88" s="99" t="s">
        <v>301</v>
      </c>
      <c r="B88" s="85" t="s">
        <v>175</v>
      </c>
      <c r="C88" s="73" t="s">
        <v>7</v>
      </c>
      <c r="D88" s="72">
        <v>1.28</v>
      </c>
      <c r="E88" s="72">
        <v>1.54</v>
      </c>
      <c r="F88" s="79">
        <v>2.19</v>
      </c>
      <c r="G88" s="72">
        <v>3.73</v>
      </c>
    </row>
    <row r="89" spans="1:7" s="95" customFormat="1" ht="18.75" customHeight="1" x14ac:dyDescent="0.2">
      <c r="A89" s="98" t="s">
        <v>149</v>
      </c>
      <c r="B89" s="106" t="s">
        <v>181</v>
      </c>
      <c r="C89" s="107"/>
      <c r="D89" s="107"/>
      <c r="E89" s="107"/>
      <c r="F89" s="107"/>
      <c r="G89" s="107"/>
    </row>
    <row r="90" spans="1:7" s="95" customFormat="1" ht="30" customHeight="1" x14ac:dyDescent="0.2">
      <c r="A90" s="99" t="s">
        <v>304</v>
      </c>
      <c r="B90" s="100" t="s">
        <v>221</v>
      </c>
      <c r="C90" s="73" t="s">
        <v>7</v>
      </c>
      <c r="D90" s="72">
        <v>0.84999999999999987</v>
      </c>
      <c r="E90" s="72">
        <v>1.02</v>
      </c>
      <c r="F90" s="79">
        <v>4.38</v>
      </c>
      <c r="G90" s="72">
        <v>5.4</v>
      </c>
    </row>
    <row r="91" spans="1:7" x14ac:dyDescent="0.3">
      <c r="B91" s="93"/>
      <c r="D91" s="93"/>
      <c r="E91" s="93"/>
    </row>
  </sheetData>
  <mergeCells count="17">
    <mergeCell ref="A1:G1"/>
    <mergeCell ref="A2:G2"/>
    <mergeCell ref="A3:G3"/>
    <mergeCell ref="A6:A7"/>
    <mergeCell ref="B6:B7"/>
    <mergeCell ref="C6:C7"/>
    <mergeCell ref="D6:D7"/>
    <mergeCell ref="E6:E7"/>
    <mergeCell ref="F6:F7"/>
    <mergeCell ref="G6:G7"/>
    <mergeCell ref="B73:G73"/>
    <mergeCell ref="B89:G89"/>
    <mergeCell ref="B8:G8"/>
    <mergeCell ref="B25:G25"/>
    <mergeCell ref="B26:G26"/>
    <mergeCell ref="B36:G36"/>
    <mergeCell ref="B52:G52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0" fitToHeight="0" orientation="portrait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view="pageBreakPreview" zoomScale="90" zoomScaleNormal="90" zoomScaleSheetLayoutView="90" workbookViewId="0">
      <selection activeCell="B6" sqref="B6:B7"/>
    </sheetView>
  </sheetViews>
  <sheetFormatPr defaultColWidth="9.140625" defaultRowHeight="18.75" x14ac:dyDescent="0.3"/>
  <cols>
    <col min="1" max="1" width="10.140625" style="166" customWidth="1"/>
    <col min="2" max="2" width="57.5703125" style="167" customWidth="1"/>
    <col min="3" max="3" width="17.28515625" style="142" customWidth="1"/>
    <col min="4" max="4" width="15.28515625" style="167" customWidth="1"/>
    <col min="5" max="5" width="14.42578125" style="167" customWidth="1"/>
    <col min="6" max="6" width="12.7109375" style="167" customWidth="1"/>
    <col min="7" max="7" width="15.7109375" style="167" customWidth="1"/>
    <col min="8" max="16384" width="9.140625" style="168"/>
  </cols>
  <sheetData>
    <row r="1" spans="1:7" s="137" customFormat="1" x14ac:dyDescent="0.2">
      <c r="A1" s="136" t="s">
        <v>1</v>
      </c>
      <c r="B1" s="136"/>
      <c r="C1" s="136"/>
      <c r="D1" s="136"/>
      <c r="E1" s="136"/>
      <c r="F1" s="136"/>
      <c r="G1" s="136"/>
    </row>
    <row r="2" spans="1:7" s="137" customFormat="1" ht="17.45" customHeight="1" x14ac:dyDescent="0.2">
      <c r="A2" s="138" t="s">
        <v>222</v>
      </c>
      <c r="B2" s="138"/>
      <c r="C2" s="138"/>
      <c r="D2" s="138"/>
      <c r="E2" s="138"/>
      <c r="F2" s="138"/>
      <c r="G2" s="138"/>
    </row>
    <row r="3" spans="1:7" s="137" customFormat="1" ht="17.45" customHeight="1" x14ac:dyDescent="0.2">
      <c r="A3" s="138" t="s">
        <v>312</v>
      </c>
      <c r="B3" s="138"/>
      <c r="C3" s="138"/>
      <c r="D3" s="138"/>
      <c r="E3" s="138"/>
      <c r="F3" s="138"/>
      <c r="G3" s="138"/>
    </row>
    <row r="4" spans="1:7" s="137" customFormat="1" ht="15" customHeight="1" x14ac:dyDescent="0.2">
      <c r="A4" s="139"/>
      <c r="B4" s="139"/>
      <c r="C4" s="139"/>
      <c r="D4" s="139"/>
      <c r="E4" s="139"/>
      <c r="F4" s="139"/>
      <c r="G4" s="139"/>
    </row>
    <row r="5" spans="1:7" s="137" customFormat="1" x14ac:dyDescent="0.2">
      <c r="A5" s="140"/>
      <c r="B5" s="141"/>
      <c r="C5" s="141"/>
      <c r="D5" s="141"/>
      <c r="E5" s="142"/>
      <c r="F5" s="143"/>
      <c r="G5" s="144" t="s">
        <v>226</v>
      </c>
    </row>
    <row r="6" spans="1:7" s="137" customFormat="1" ht="43.15" customHeight="1" x14ac:dyDescent="0.2">
      <c r="A6" s="145" t="s">
        <v>2</v>
      </c>
      <c r="B6" s="146" t="s">
        <v>3</v>
      </c>
      <c r="C6" s="146" t="s">
        <v>4</v>
      </c>
      <c r="D6" s="146" t="s">
        <v>178</v>
      </c>
      <c r="E6" s="146" t="s">
        <v>165</v>
      </c>
      <c r="F6" s="146" t="s">
        <v>150</v>
      </c>
      <c r="G6" s="146" t="s">
        <v>179</v>
      </c>
    </row>
    <row r="7" spans="1:7" s="137" customFormat="1" ht="105" customHeight="1" x14ac:dyDescent="0.2">
      <c r="A7" s="147"/>
      <c r="B7" s="148"/>
      <c r="C7" s="148"/>
      <c r="D7" s="148"/>
      <c r="E7" s="148"/>
      <c r="F7" s="148"/>
      <c r="G7" s="148"/>
    </row>
    <row r="8" spans="1:7" s="137" customFormat="1" x14ac:dyDescent="0.2">
      <c r="A8" s="149">
        <v>1</v>
      </c>
      <c r="B8" s="150" t="s">
        <v>5</v>
      </c>
      <c r="C8" s="151"/>
      <c r="D8" s="151"/>
      <c r="E8" s="151"/>
      <c r="F8" s="151"/>
      <c r="G8" s="151"/>
    </row>
    <row r="9" spans="1:7" s="137" customFormat="1" ht="37.5" x14ac:dyDescent="0.2">
      <c r="A9" s="152" t="s">
        <v>238</v>
      </c>
      <c r="B9" s="100" t="s">
        <v>185</v>
      </c>
      <c r="C9" s="153" t="s">
        <v>6</v>
      </c>
      <c r="D9" s="154"/>
      <c r="E9" s="154"/>
      <c r="F9" s="79">
        <v>12.97</v>
      </c>
      <c r="G9" s="155">
        <v>12.97</v>
      </c>
    </row>
    <row r="10" spans="1:7" s="137" customFormat="1" ht="80.25" customHeight="1" x14ac:dyDescent="0.2">
      <c r="A10" s="101" t="s">
        <v>239</v>
      </c>
      <c r="B10" s="86" t="s">
        <v>186</v>
      </c>
      <c r="C10" s="80" t="s">
        <v>7</v>
      </c>
      <c r="D10" s="81">
        <v>0.9</v>
      </c>
      <c r="E10" s="81">
        <v>1.08</v>
      </c>
      <c r="F10" s="81"/>
      <c r="G10" s="81">
        <v>1.08</v>
      </c>
    </row>
    <row r="11" spans="1:7" s="137" customFormat="1" ht="56.25" x14ac:dyDescent="0.2">
      <c r="A11" s="152" t="s">
        <v>240</v>
      </c>
      <c r="B11" s="100" t="s">
        <v>187</v>
      </c>
      <c r="C11" s="153" t="s">
        <v>8</v>
      </c>
      <c r="D11" s="154"/>
      <c r="E11" s="154"/>
      <c r="F11" s="79">
        <v>6.48</v>
      </c>
      <c r="G11" s="155">
        <v>6.48</v>
      </c>
    </row>
    <row r="12" spans="1:7" s="137" customFormat="1" ht="37.5" x14ac:dyDescent="0.2">
      <c r="A12" s="152" t="s">
        <v>242</v>
      </c>
      <c r="B12" s="100" t="s">
        <v>188</v>
      </c>
      <c r="C12" s="153" t="s">
        <v>7</v>
      </c>
      <c r="D12" s="155">
        <v>0.09</v>
      </c>
      <c r="E12" s="155">
        <v>0.11</v>
      </c>
      <c r="F12" s="79">
        <v>2.56</v>
      </c>
      <c r="G12" s="155">
        <v>2.67</v>
      </c>
    </row>
    <row r="13" spans="1:7" s="137" customFormat="1" ht="56.25" x14ac:dyDescent="0.2">
      <c r="A13" s="152" t="s">
        <v>241</v>
      </c>
      <c r="B13" s="100" t="s">
        <v>189</v>
      </c>
      <c r="C13" s="153" t="s">
        <v>7</v>
      </c>
      <c r="D13" s="155">
        <v>0.09</v>
      </c>
      <c r="E13" s="155">
        <v>0.11</v>
      </c>
      <c r="F13" s="79">
        <v>1.92</v>
      </c>
      <c r="G13" s="155">
        <v>2.0299999999999998</v>
      </c>
    </row>
    <row r="14" spans="1:7" s="137" customFormat="1" ht="56.25" x14ac:dyDescent="0.2">
      <c r="A14" s="152" t="s">
        <v>243</v>
      </c>
      <c r="B14" s="156" t="s">
        <v>190</v>
      </c>
      <c r="C14" s="153" t="s">
        <v>7</v>
      </c>
      <c r="D14" s="154"/>
      <c r="E14" s="154"/>
      <c r="F14" s="79">
        <v>5.2</v>
      </c>
      <c r="G14" s="155">
        <v>5.2</v>
      </c>
    </row>
    <row r="15" spans="1:7" s="137" customFormat="1" ht="37.5" x14ac:dyDescent="0.2">
      <c r="A15" s="152" t="s">
        <v>244</v>
      </c>
      <c r="B15" s="100" t="s">
        <v>191</v>
      </c>
      <c r="C15" s="153" t="s">
        <v>7</v>
      </c>
      <c r="D15" s="155">
        <v>0.37000000000000005</v>
      </c>
      <c r="E15" s="155">
        <v>0.44</v>
      </c>
      <c r="F15" s="79">
        <v>1.92</v>
      </c>
      <c r="G15" s="155">
        <v>2.36</v>
      </c>
    </row>
    <row r="16" spans="1:7" s="137" customFormat="1" ht="41.25" customHeight="1" x14ac:dyDescent="0.2">
      <c r="A16" s="152" t="s">
        <v>245</v>
      </c>
      <c r="B16" s="100" t="s">
        <v>192</v>
      </c>
      <c r="C16" s="153" t="s">
        <v>7</v>
      </c>
      <c r="D16" s="155">
        <v>6.9999999999999993E-2</v>
      </c>
      <c r="E16" s="155">
        <v>0.08</v>
      </c>
      <c r="F16" s="79">
        <v>3.9</v>
      </c>
      <c r="G16" s="155">
        <v>3.98</v>
      </c>
    </row>
    <row r="17" spans="1:7" s="137" customFormat="1" ht="37.5" x14ac:dyDescent="0.2">
      <c r="A17" s="152" t="s">
        <v>246</v>
      </c>
      <c r="B17" s="100" t="s">
        <v>177</v>
      </c>
      <c r="C17" s="153" t="s">
        <v>7</v>
      </c>
      <c r="D17" s="155">
        <v>0.04</v>
      </c>
      <c r="E17" s="155">
        <v>0.05</v>
      </c>
      <c r="F17" s="79">
        <v>2.56</v>
      </c>
      <c r="G17" s="155">
        <v>2.61</v>
      </c>
    </row>
    <row r="18" spans="1:7" s="137" customFormat="1" ht="37.5" x14ac:dyDescent="0.2">
      <c r="A18" s="152" t="s">
        <v>248</v>
      </c>
      <c r="B18" s="100" t="s">
        <v>176</v>
      </c>
      <c r="C18" s="153" t="s">
        <v>7</v>
      </c>
      <c r="D18" s="155">
        <v>0.43000000000000005</v>
      </c>
      <c r="E18" s="155">
        <v>0.52</v>
      </c>
      <c r="F18" s="79">
        <v>2.56</v>
      </c>
      <c r="G18" s="155">
        <v>3.08</v>
      </c>
    </row>
    <row r="19" spans="1:7" s="137" customFormat="1" ht="30" customHeight="1" x14ac:dyDescent="0.2">
      <c r="A19" s="152" t="s">
        <v>251</v>
      </c>
      <c r="B19" s="100" t="s">
        <v>196</v>
      </c>
      <c r="C19" s="153" t="s">
        <v>7</v>
      </c>
      <c r="D19" s="155">
        <v>1.88</v>
      </c>
      <c r="E19" s="155">
        <v>2.2599999999999998</v>
      </c>
      <c r="F19" s="79">
        <v>6.48</v>
      </c>
      <c r="G19" s="155">
        <v>8.74</v>
      </c>
    </row>
    <row r="20" spans="1:7" s="137" customFormat="1" ht="30" customHeight="1" x14ac:dyDescent="0.2">
      <c r="A20" s="152" t="s">
        <v>252</v>
      </c>
      <c r="B20" s="100" t="s">
        <v>197</v>
      </c>
      <c r="C20" s="153" t="s">
        <v>7</v>
      </c>
      <c r="D20" s="155">
        <v>2.88</v>
      </c>
      <c r="E20" s="155">
        <v>3.46</v>
      </c>
      <c r="F20" s="79">
        <v>9.6999999999999993</v>
      </c>
      <c r="G20" s="155">
        <v>13.16</v>
      </c>
    </row>
    <row r="21" spans="1:7" s="137" customFormat="1" ht="30" customHeight="1" x14ac:dyDescent="0.2">
      <c r="A21" s="152" t="s">
        <v>247</v>
      </c>
      <c r="B21" s="100" t="s">
        <v>193</v>
      </c>
      <c r="C21" s="153" t="s">
        <v>7</v>
      </c>
      <c r="D21" s="155">
        <v>0.03</v>
      </c>
      <c r="E21" s="155">
        <v>0.04</v>
      </c>
      <c r="F21" s="79">
        <v>3.24</v>
      </c>
      <c r="G21" s="155">
        <v>3.2800000000000002</v>
      </c>
    </row>
    <row r="22" spans="1:7" s="137" customFormat="1" ht="30" customHeight="1" x14ac:dyDescent="0.2">
      <c r="A22" s="152" t="s">
        <v>249</v>
      </c>
      <c r="B22" s="100" t="s">
        <v>194</v>
      </c>
      <c r="C22" s="153" t="s">
        <v>7</v>
      </c>
      <c r="D22" s="155">
        <v>3.92</v>
      </c>
      <c r="E22" s="155">
        <v>4.7</v>
      </c>
      <c r="F22" s="79">
        <v>7.77</v>
      </c>
      <c r="G22" s="155">
        <v>12.469999999999999</v>
      </c>
    </row>
    <row r="23" spans="1:7" s="137" customFormat="1" ht="30" customHeight="1" x14ac:dyDescent="0.2">
      <c r="A23" s="152" t="s">
        <v>250</v>
      </c>
      <c r="B23" s="100" t="s">
        <v>195</v>
      </c>
      <c r="C23" s="153" t="s">
        <v>7</v>
      </c>
      <c r="D23" s="155">
        <v>3</v>
      </c>
      <c r="E23" s="155">
        <v>3.6</v>
      </c>
      <c r="F23" s="79">
        <v>3.9</v>
      </c>
      <c r="G23" s="155">
        <v>7.5</v>
      </c>
    </row>
    <row r="24" spans="1:7" s="137" customFormat="1" ht="30" customHeight="1" x14ac:dyDescent="0.2">
      <c r="A24" s="152" t="s">
        <v>303</v>
      </c>
      <c r="B24" s="100" t="s">
        <v>180</v>
      </c>
      <c r="C24" s="153" t="s">
        <v>7</v>
      </c>
      <c r="D24" s="155">
        <v>0.28024242424242418</v>
      </c>
      <c r="E24" s="155">
        <v>0.34</v>
      </c>
      <c r="F24" s="79">
        <v>1.92</v>
      </c>
      <c r="G24" s="155">
        <v>2.2599999999999998</v>
      </c>
    </row>
    <row r="25" spans="1:7" s="137" customFormat="1" x14ac:dyDescent="0.2">
      <c r="A25" s="149">
        <v>2</v>
      </c>
      <c r="B25" s="150" t="s">
        <v>9</v>
      </c>
      <c r="C25" s="151"/>
      <c r="D25" s="151"/>
      <c r="E25" s="151"/>
      <c r="F25" s="151"/>
      <c r="G25" s="151"/>
    </row>
    <row r="26" spans="1:7" s="137" customFormat="1" ht="40.5" customHeight="1" x14ac:dyDescent="0.2">
      <c r="A26" s="152" t="s">
        <v>231</v>
      </c>
      <c r="B26" s="157" t="s">
        <v>198</v>
      </c>
      <c r="C26" s="158"/>
      <c r="D26" s="158"/>
      <c r="E26" s="158"/>
      <c r="F26" s="158"/>
      <c r="G26" s="159"/>
    </row>
    <row r="27" spans="1:7" s="137" customFormat="1" ht="37.5" x14ac:dyDescent="0.2">
      <c r="A27" s="152" t="s">
        <v>232</v>
      </c>
      <c r="B27" s="100" t="s">
        <v>199</v>
      </c>
      <c r="C27" s="153" t="s">
        <v>7</v>
      </c>
      <c r="D27" s="155">
        <v>2.7699999999999996</v>
      </c>
      <c r="E27" s="155">
        <v>3.32</v>
      </c>
      <c r="F27" s="79">
        <v>5.2</v>
      </c>
      <c r="G27" s="155">
        <v>8.52</v>
      </c>
    </row>
    <row r="28" spans="1:7" s="137" customFormat="1" ht="37.5" x14ac:dyDescent="0.2">
      <c r="A28" s="152" t="s">
        <v>233</v>
      </c>
      <c r="B28" s="100" t="s">
        <v>200</v>
      </c>
      <c r="C28" s="153" t="s">
        <v>7</v>
      </c>
      <c r="D28" s="155">
        <v>3.55</v>
      </c>
      <c r="E28" s="155">
        <v>4.26</v>
      </c>
      <c r="F28" s="79">
        <v>7.77</v>
      </c>
      <c r="G28" s="155">
        <v>12.03</v>
      </c>
    </row>
    <row r="29" spans="1:7" s="137" customFormat="1" ht="37.5" x14ac:dyDescent="0.2">
      <c r="A29" s="152" t="s">
        <v>234</v>
      </c>
      <c r="B29" s="100" t="s">
        <v>201</v>
      </c>
      <c r="C29" s="153" t="s">
        <v>7</v>
      </c>
      <c r="D29" s="155">
        <v>4.2699999999999996</v>
      </c>
      <c r="E29" s="155">
        <v>5.12</v>
      </c>
      <c r="F29" s="79">
        <v>11.67</v>
      </c>
      <c r="G29" s="155">
        <v>16.79</v>
      </c>
    </row>
    <row r="30" spans="1:7" s="137" customFormat="1" ht="37.5" x14ac:dyDescent="0.2">
      <c r="A30" s="152" t="s">
        <v>235</v>
      </c>
      <c r="B30" s="100" t="s">
        <v>202</v>
      </c>
      <c r="C30" s="153" t="s">
        <v>7</v>
      </c>
      <c r="D30" s="155">
        <v>6.41</v>
      </c>
      <c r="E30" s="155">
        <v>7.69</v>
      </c>
      <c r="F30" s="79">
        <v>14.91</v>
      </c>
      <c r="G30" s="155">
        <v>22.6</v>
      </c>
    </row>
    <row r="31" spans="1:7" s="137" customFormat="1" ht="56.25" x14ac:dyDescent="0.2">
      <c r="A31" s="160" t="s">
        <v>257</v>
      </c>
      <c r="B31" s="161" t="s">
        <v>203</v>
      </c>
      <c r="C31" s="153" t="s">
        <v>219</v>
      </c>
      <c r="D31" s="162">
        <v>11.28</v>
      </c>
      <c r="E31" s="162">
        <v>13.54</v>
      </c>
      <c r="F31" s="79">
        <v>6.48</v>
      </c>
      <c r="G31" s="155">
        <v>20.02</v>
      </c>
    </row>
    <row r="32" spans="1:7" s="137" customFormat="1" ht="56.25" x14ac:dyDescent="0.2">
      <c r="A32" s="160" t="s">
        <v>254</v>
      </c>
      <c r="B32" s="91" t="s">
        <v>230</v>
      </c>
      <c r="C32" s="153" t="s">
        <v>228</v>
      </c>
      <c r="D32" s="162">
        <v>5.86</v>
      </c>
      <c r="E32" s="162">
        <v>7.03</v>
      </c>
      <c r="F32" s="79">
        <v>5.2</v>
      </c>
      <c r="G32" s="155">
        <v>12.23</v>
      </c>
    </row>
    <row r="33" spans="1:7" s="137" customFormat="1" ht="56.25" x14ac:dyDescent="0.2">
      <c r="A33" s="160" t="s">
        <v>255</v>
      </c>
      <c r="B33" s="91" t="s">
        <v>230</v>
      </c>
      <c r="C33" s="153" t="s">
        <v>229</v>
      </c>
      <c r="D33" s="162">
        <v>3.2</v>
      </c>
      <c r="E33" s="162">
        <v>3.8400000000000003</v>
      </c>
      <c r="F33" s="79">
        <v>5.2</v>
      </c>
      <c r="G33" s="155">
        <v>9.0400000000000009</v>
      </c>
    </row>
    <row r="34" spans="1:7" s="137" customFormat="1" ht="56.25" x14ac:dyDescent="0.2">
      <c r="A34" s="160" t="s">
        <v>256</v>
      </c>
      <c r="B34" s="91" t="s">
        <v>230</v>
      </c>
      <c r="C34" s="153" t="s">
        <v>219</v>
      </c>
      <c r="D34" s="162">
        <v>2.0499999999999998</v>
      </c>
      <c r="E34" s="162">
        <v>2.46</v>
      </c>
      <c r="F34" s="79">
        <v>5.2</v>
      </c>
      <c r="G34" s="155">
        <v>7.66</v>
      </c>
    </row>
    <row r="35" spans="1:7" s="137" customFormat="1" ht="56.25" x14ac:dyDescent="0.2">
      <c r="A35" s="160" t="s">
        <v>253</v>
      </c>
      <c r="B35" s="91" t="s">
        <v>236</v>
      </c>
      <c r="C35" s="153" t="s">
        <v>237</v>
      </c>
      <c r="D35" s="162">
        <v>0.61</v>
      </c>
      <c r="E35" s="162">
        <v>0.73</v>
      </c>
      <c r="F35" s="79">
        <v>5.2</v>
      </c>
      <c r="G35" s="155">
        <v>5.93</v>
      </c>
    </row>
    <row r="36" spans="1:7" s="137" customFormat="1" ht="18.75" customHeight="1" x14ac:dyDescent="0.2">
      <c r="A36" s="152"/>
      <c r="B36" s="157" t="s">
        <v>184</v>
      </c>
      <c r="C36" s="158"/>
      <c r="D36" s="158"/>
      <c r="E36" s="158"/>
      <c r="F36" s="158"/>
      <c r="G36" s="159"/>
    </row>
    <row r="37" spans="1:7" s="137" customFormat="1" ht="37.5" x14ac:dyDescent="0.2">
      <c r="A37" s="152" t="s">
        <v>258</v>
      </c>
      <c r="B37" s="100" t="s">
        <v>204</v>
      </c>
      <c r="C37" s="153" t="s">
        <v>7</v>
      </c>
      <c r="D37" s="155">
        <v>12.81</v>
      </c>
      <c r="E37" s="155">
        <v>15.37</v>
      </c>
      <c r="F37" s="79">
        <v>7.77</v>
      </c>
      <c r="G37" s="155">
        <v>23.14</v>
      </c>
    </row>
    <row r="38" spans="1:7" s="137" customFormat="1" ht="37.5" x14ac:dyDescent="0.2">
      <c r="A38" s="152" t="s">
        <v>259</v>
      </c>
      <c r="B38" s="100" t="s">
        <v>205</v>
      </c>
      <c r="C38" s="153" t="s">
        <v>7</v>
      </c>
      <c r="D38" s="155">
        <v>12.81</v>
      </c>
      <c r="E38" s="155">
        <v>15.37</v>
      </c>
      <c r="F38" s="79">
        <v>11.67</v>
      </c>
      <c r="G38" s="155">
        <v>27.04</v>
      </c>
    </row>
    <row r="39" spans="1:7" s="137" customFormat="1" ht="30" customHeight="1" x14ac:dyDescent="0.2">
      <c r="A39" s="152" t="s">
        <v>260</v>
      </c>
      <c r="B39" s="100" t="s">
        <v>206</v>
      </c>
      <c r="C39" s="153" t="s">
        <v>7</v>
      </c>
      <c r="D39" s="155">
        <v>0.64</v>
      </c>
      <c r="E39" s="155">
        <v>0.77</v>
      </c>
      <c r="F39" s="79">
        <v>2.56</v>
      </c>
      <c r="G39" s="155">
        <v>3.33</v>
      </c>
    </row>
    <row r="40" spans="1:7" s="137" customFormat="1" ht="37.5" x14ac:dyDescent="0.2">
      <c r="A40" s="152" t="s">
        <v>263</v>
      </c>
      <c r="B40" s="163" t="s">
        <v>208</v>
      </c>
      <c r="C40" s="153" t="s">
        <v>7</v>
      </c>
      <c r="D40" s="155">
        <v>3.4399999999999995</v>
      </c>
      <c r="E40" s="155">
        <v>4.13</v>
      </c>
      <c r="F40" s="79">
        <v>6.48</v>
      </c>
      <c r="G40" s="155">
        <v>10.61</v>
      </c>
    </row>
    <row r="41" spans="1:7" s="137" customFormat="1" ht="46.5" customHeight="1" x14ac:dyDescent="0.2">
      <c r="A41" s="152" t="s">
        <v>264</v>
      </c>
      <c r="B41" s="163" t="s">
        <v>166</v>
      </c>
      <c r="C41" s="153" t="s">
        <v>7</v>
      </c>
      <c r="D41" s="155">
        <v>5.53</v>
      </c>
      <c r="E41" s="155">
        <v>6.64</v>
      </c>
      <c r="F41" s="79">
        <v>14.26</v>
      </c>
      <c r="G41" s="155">
        <v>20.9</v>
      </c>
    </row>
    <row r="42" spans="1:7" s="137" customFormat="1" ht="30" customHeight="1" x14ac:dyDescent="0.2">
      <c r="A42" s="152" t="s">
        <v>261</v>
      </c>
      <c r="B42" s="100" t="s">
        <v>207</v>
      </c>
      <c r="C42" s="153" t="s">
        <v>7</v>
      </c>
      <c r="D42" s="155">
        <v>0.01</v>
      </c>
      <c r="E42" s="155">
        <v>0.01</v>
      </c>
      <c r="F42" s="79">
        <v>1.92</v>
      </c>
      <c r="G42" s="155">
        <v>1.93</v>
      </c>
    </row>
    <row r="43" spans="1:7" s="137" customFormat="1" ht="30" customHeight="1" x14ac:dyDescent="0.2">
      <c r="A43" s="152" t="s">
        <v>262</v>
      </c>
      <c r="B43" s="100" t="s">
        <v>138</v>
      </c>
      <c r="C43" s="153" t="s">
        <v>7</v>
      </c>
      <c r="D43" s="155">
        <v>0.09</v>
      </c>
      <c r="E43" s="155">
        <v>0.11</v>
      </c>
      <c r="F43" s="79">
        <v>3.24</v>
      </c>
      <c r="G43" s="155">
        <v>3.35</v>
      </c>
    </row>
    <row r="44" spans="1:7" s="137" customFormat="1" ht="30" customHeight="1" x14ac:dyDescent="0.2">
      <c r="A44" s="152" t="s">
        <v>266</v>
      </c>
      <c r="B44" s="100" t="s">
        <v>139</v>
      </c>
      <c r="C44" s="153" t="s">
        <v>7</v>
      </c>
      <c r="D44" s="155">
        <v>0.19</v>
      </c>
      <c r="E44" s="155">
        <v>0.23</v>
      </c>
      <c r="F44" s="79">
        <v>3.24</v>
      </c>
      <c r="G44" s="155">
        <v>3.47</v>
      </c>
    </row>
    <row r="45" spans="1:7" s="137" customFormat="1" ht="60.75" customHeight="1" x14ac:dyDescent="0.2">
      <c r="A45" s="152" t="s">
        <v>267</v>
      </c>
      <c r="B45" s="100" t="s">
        <v>140</v>
      </c>
      <c r="C45" s="153" t="s">
        <v>7</v>
      </c>
      <c r="D45" s="155">
        <v>4.4300000000000006</v>
      </c>
      <c r="E45" s="155">
        <v>5.32</v>
      </c>
      <c r="F45" s="79">
        <v>12.97</v>
      </c>
      <c r="G45" s="155">
        <v>18.29</v>
      </c>
    </row>
    <row r="46" spans="1:7" s="137" customFormat="1" ht="28.5" customHeight="1" x14ac:dyDescent="0.2">
      <c r="A46" s="152" t="s">
        <v>183</v>
      </c>
      <c r="B46" s="163" t="s">
        <v>141</v>
      </c>
      <c r="C46" s="153" t="s">
        <v>7</v>
      </c>
      <c r="D46" s="155">
        <v>0.01</v>
      </c>
      <c r="E46" s="155">
        <v>0.01</v>
      </c>
      <c r="F46" s="79">
        <v>3.24</v>
      </c>
      <c r="G46" s="155">
        <v>3.25</v>
      </c>
    </row>
    <row r="47" spans="1:7" s="137" customFormat="1" ht="56.25" x14ac:dyDescent="0.2">
      <c r="A47" s="152" t="s">
        <v>182</v>
      </c>
      <c r="B47" s="100" t="s">
        <v>142</v>
      </c>
      <c r="C47" s="153" t="s">
        <v>7</v>
      </c>
      <c r="D47" s="155">
        <v>0.03</v>
      </c>
      <c r="E47" s="155">
        <v>0.04</v>
      </c>
      <c r="F47" s="79">
        <v>5.2</v>
      </c>
      <c r="G47" s="155">
        <v>5.24</v>
      </c>
    </row>
    <row r="48" spans="1:7" s="137" customFormat="1" ht="30" customHeight="1" x14ac:dyDescent="0.2">
      <c r="A48" s="152" t="s">
        <v>268</v>
      </c>
      <c r="B48" s="100" t="s">
        <v>167</v>
      </c>
      <c r="C48" s="153" t="s">
        <v>7</v>
      </c>
      <c r="D48" s="155">
        <v>3.0999999999999996</v>
      </c>
      <c r="E48" s="155">
        <v>3.72</v>
      </c>
      <c r="F48" s="79">
        <v>5.2</v>
      </c>
      <c r="G48" s="155">
        <v>8.92</v>
      </c>
    </row>
    <row r="49" spans="1:7" s="137" customFormat="1" ht="30" customHeight="1" x14ac:dyDescent="0.2">
      <c r="A49" s="152" t="s">
        <v>269</v>
      </c>
      <c r="B49" s="100" t="s">
        <v>168</v>
      </c>
      <c r="C49" s="153" t="s">
        <v>7</v>
      </c>
      <c r="D49" s="155">
        <v>4.49</v>
      </c>
      <c r="E49" s="155">
        <v>5.39</v>
      </c>
      <c r="F49" s="79">
        <v>16.2</v>
      </c>
      <c r="G49" s="155">
        <v>21.59</v>
      </c>
    </row>
    <row r="50" spans="1:7" s="137" customFormat="1" ht="37.5" customHeight="1" x14ac:dyDescent="0.2">
      <c r="A50" s="152" t="s">
        <v>270</v>
      </c>
      <c r="B50" s="100" t="s">
        <v>169</v>
      </c>
      <c r="C50" s="153" t="s">
        <v>7</v>
      </c>
      <c r="D50" s="155">
        <v>7.91</v>
      </c>
      <c r="E50" s="155">
        <v>9.49</v>
      </c>
      <c r="F50" s="79">
        <v>19.46</v>
      </c>
      <c r="G50" s="155">
        <v>28.950000000000003</v>
      </c>
    </row>
    <row r="51" spans="1:7" s="137" customFormat="1" ht="56.25" x14ac:dyDescent="0.2">
      <c r="A51" s="152" t="s">
        <v>265</v>
      </c>
      <c r="B51" s="163" t="s">
        <v>143</v>
      </c>
      <c r="C51" s="153" t="s">
        <v>7</v>
      </c>
      <c r="D51" s="155">
        <v>2.92</v>
      </c>
      <c r="E51" s="155">
        <v>3.5</v>
      </c>
      <c r="F51" s="79">
        <v>11.67</v>
      </c>
      <c r="G51" s="155">
        <v>15.17</v>
      </c>
    </row>
    <row r="52" spans="1:7" s="137" customFormat="1" ht="40.5" customHeight="1" x14ac:dyDescent="0.2">
      <c r="A52" s="152" t="s">
        <v>307</v>
      </c>
      <c r="B52" s="157" t="s">
        <v>209</v>
      </c>
      <c r="C52" s="158"/>
      <c r="D52" s="158"/>
      <c r="E52" s="158"/>
      <c r="F52" s="158"/>
      <c r="G52" s="159"/>
    </row>
    <row r="53" spans="1:7" s="137" customFormat="1" ht="37.5" x14ac:dyDescent="0.2">
      <c r="A53" s="152" t="s">
        <v>271</v>
      </c>
      <c r="B53" s="164" t="s">
        <v>210</v>
      </c>
      <c r="C53" s="153" t="s">
        <v>217</v>
      </c>
      <c r="D53" s="155">
        <v>5.43</v>
      </c>
      <c r="E53" s="155">
        <v>5.97</v>
      </c>
      <c r="F53" s="79">
        <v>12.97</v>
      </c>
      <c r="G53" s="155">
        <v>18.940000000000001</v>
      </c>
    </row>
    <row r="54" spans="1:7" s="137" customFormat="1" ht="37.5" x14ac:dyDescent="0.2">
      <c r="A54" s="152" t="s">
        <v>272</v>
      </c>
      <c r="B54" s="164" t="s">
        <v>211</v>
      </c>
      <c r="C54" s="153" t="s">
        <v>217</v>
      </c>
      <c r="D54" s="155">
        <v>8.15</v>
      </c>
      <c r="E54" s="155">
        <v>9.7799999999999994</v>
      </c>
      <c r="F54" s="79">
        <v>16.2</v>
      </c>
      <c r="G54" s="155">
        <v>25.979999999999997</v>
      </c>
    </row>
    <row r="55" spans="1:7" s="137" customFormat="1" ht="37.5" x14ac:dyDescent="0.2">
      <c r="A55" s="152" t="s">
        <v>273</v>
      </c>
      <c r="B55" s="164" t="s">
        <v>212</v>
      </c>
      <c r="C55" s="153" t="s">
        <v>217</v>
      </c>
      <c r="D55" s="155">
        <v>10.87</v>
      </c>
      <c r="E55" s="155">
        <v>13.04</v>
      </c>
      <c r="F55" s="79">
        <v>19.46</v>
      </c>
      <c r="G55" s="155">
        <v>32.5</v>
      </c>
    </row>
    <row r="56" spans="1:7" s="137" customFormat="1" ht="37.5" x14ac:dyDescent="0.2">
      <c r="A56" s="152" t="s">
        <v>274</v>
      </c>
      <c r="B56" s="164" t="s">
        <v>213</v>
      </c>
      <c r="C56" s="153" t="s">
        <v>217</v>
      </c>
      <c r="D56" s="155">
        <v>13.58</v>
      </c>
      <c r="E56" s="155">
        <v>16.3</v>
      </c>
      <c r="F56" s="79">
        <v>22.67</v>
      </c>
      <c r="G56" s="155">
        <v>38.97</v>
      </c>
    </row>
    <row r="57" spans="1:7" s="137" customFormat="1" ht="37.5" x14ac:dyDescent="0.2">
      <c r="A57" s="152" t="s">
        <v>275</v>
      </c>
      <c r="B57" s="164" t="s">
        <v>210</v>
      </c>
      <c r="C57" s="153" t="s">
        <v>218</v>
      </c>
      <c r="D57" s="155">
        <v>4.5</v>
      </c>
      <c r="E57" s="155">
        <v>4.95</v>
      </c>
      <c r="F57" s="79">
        <v>12.97</v>
      </c>
      <c r="G57" s="155">
        <v>17.920000000000002</v>
      </c>
    </row>
    <row r="58" spans="1:7" s="137" customFormat="1" ht="37.5" x14ac:dyDescent="0.2">
      <c r="A58" s="152" t="s">
        <v>276</v>
      </c>
      <c r="B58" s="164" t="s">
        <v>211</v>
      </c>
      <c r="C58" s="153" t="s">
        <v>218</v>
      </c>
      <c r="D58" s="155">
        <v>6.76</v>
      </c>
      <c r="E58" s="155">
        <v>8.11</v>
      </c>
      <c r="F58" s="79">
        <v>16.2</v>
      </c>
      <c r="G58" s="155">
        <v>24.31</v>
      </c>
    </row>
    <row r="59" spans="1:7" s="137" customFormat="1" ht="37.5" x14ac:dyDescent="0.2">
      <c r="A59" s="152" t="s">
        <v>277</v>
      </c>
      <c r="B59" s="164" t="s">
        <v>212</v>
      </c>
      <c r="C59" s="153" t="s">
        <v>218</v>
      </c>
      <c r="D59" s="155">
        <v>9.01</v>
      </c>
      <c r="E59" s="155">
        <v>10.81</v>
      </c>
      <c r="F59" s="79">
        <v>19.46</v>
      </c>
      <c r="G59" s="155">
        <v>30.270000000000003</v>
      </c>
    </row>
    <row r="60" spans="1:7" s="137" customFormat="1" ht="37.5" x14ac:dyDescent="0.2">
      <c r="A60" s="152" t="s">
        <v>278</v>
      </c>
      <c r="B60" s="164" t="s">
        <v>213</v>
      </c>
      <c r="C60" s="153" t="s">
        <v>218</v>
      </c>
      <c r="D60" s="155">
        <v>11.26</v>
      </c>
      <c r="E60" s="155">
        <v>13.51</v>
      </c>
      <c r="F60" s="79">
        <v>22.67</v>
      </c>
      <c r="G60" s="155">
        <v>36.18</v>
      </c>
    </row>
    <row r="61" spans="1:7" s="137" customFormat="1" ht="37.5" x14ac:dyDescent="0.2">
      <c r="A61" s="152" t="s">
        <v>279</v>
      </c>
      <c r="B61" s="164" t="s">
        <v>210</v>
      </c>
      <c r="C61" s="153" t="s">
        <v>219</v>
      </c>
      <c r="D61" s="155">
        <v>7.52</v>
      </c>
      <c r="E61" s="155">
        <v>9.02</v>
      </c>
      <c r="F61" s="79">
        <v>12.97</v>
      </c>
      <c r="G61" s="155">
        <v>21.990000000000002</v>
      </c>
    </row>
    <row r="62" spans="1:7" s="137" customFormat="1" ht="37.5" x14ac:dyDescent="0.2">
      <c r="A62" s="152" t="s">
        <v>280</v>
      </c>
      <c r="B62" s="164" t="s">
        <v>211</v>
      </c>
      <c r="C62" s="153" t="s">
        <v>219</v>
      </c>
      <c r="D62" s="155">
        <v>11.28</v>
      </c>
      <c r="E62" s="155">
        <v>13.54</v>
      </c>
      <c r="F62" s="79">
        <v>16.2</v>
      </c>
      <c r="G62" s="155">
        <v>29.74</v>
      </c>
    </row>
    <row r="63" spans="1:7" s="137" customFormat="1" ht="37.5" x14ac:dyDescent="0.2">
      <c r="A63" s="152" t="s">
        <v>281</v>
      </c>
      <c r="B63" s="164" t="s">
        <v>212</v>
      </c>
      <c r="C63" s="153" t="s">
        <v>219</v>
      </c>
      <c r="D63" s="155">
        <v>15.03</v>
      </c>
      <c r="E63" s="155">
        <v>18.04</v>
      </c>
      <c r="F63" s="79">
        <v>19.46</v>
      </c>
      <c r="G63" s="155">
        <v>37.5</v>
      </c>
    </row>
    <row r="64" spans="1:7" s="137" customFormat="1" ht="37.5" x14ac:dyDescent="0.2">
      <c r="A64" s="152" t="s">
        <v>282</v>
      </c>
      <c r="B64" s="164" t="s">
        <v>213</v>
      </c>
      <c r="C64" s="153" t="s">
        <v>219</v>
      </c>
      <c r="D64" s="155">
        <v>18.79</v>
      </c>
      <c r="E64" s="155">
        <v>22.55</v>
      </c>
      <c r="F64" s="79">
        <v>22.67</v>
      </c>
      <c r="G64" s="155">
        <v>45.22</v>
      </c>
    </row>
    <row r="65" spans="1:7" s="137" customFormat="1" ht="37.5" x14ac:dyDescent="0.2">
      <c r="A65" s="152" t="s">
        <v>283</v>
      </c>
      <c r="B65" s="164" t="s">
        <v>210</v>
      </c>
      <c r="C65" s="153" t="s">
        <v>223</v>
      </c>
      <c r="D65" s="155">
        <v>4.68</v>
      </c>
      <c r="E65" s="155">
        <v>5.6199999999999992</v>
      </c>
      <c r="F65" s="79">
        <v>12.97</v>
      </c>
      <c r="G65" s="155">
        <v>18.59</v>
      </c>
    </row>
    <row r="66" spans="1:7" s="137" customFormat="1" ht="37.5" x14ac:dyDescent="0.2">
      <c r="A66" s="152" t="s">
        <v>284</v>
      </c>
      <c r="B66" s="164" t="s">
        <v>211</v>
      </c>
      <c r="C66" s="153" t="s">
        <v>223</v>
      </c>
      <c r="D66" s="155">
        <v>7.02</v>
      </c>
      <c r="E66" s="155">
        <v>7.72</v>
      </c>
      <c r="F66" s="79">
        <v>16.2</v>
      </c>
      <c r="G66" s="155">
        <v>23.919999999999998</v>
      </c>
    </row>
    <row r="67" spans="1:7" s="137" customFormat="1" ht="37.5" x14ac:dyDescent="0.2">
      <c r="A67" s="152" t="s">
        <v>285</v>
      </c>
      <c r="B67" s="164" t="s">
        <v>212</v>
      </c>
      <c r="C67" s="153" t="s">
        <v>224</v>
      </c>
      <c r="D67" s="155">
        <v>9.36</v>
      </c>
      <c r="E67" s="155">
        <v>10.299999999999999</v>
      </c>
      <c r="F67" s="79">
        <v>19.46</v>
      </c>
      <c r="G67" s="155">
        <v>29.759999999999998</v>
      </c>
    </row>
    <row r="68" spans="1:7" s="137" customFormat="1" ht="37.5" x14ac:dyDescent="0.2">
      <c r="A68" s="152" t="s">
        <v>286</v>
      </c>
      <c r="B68" s="164" t="s">
        <v>213</v>
      </c>
      <c r="C68" s="153" t="s">
        <v>224</v>
      </c>
      <c r="D68" s="155">
        <v>11.7</v>
      </c>
      <c r="E68" s="155">
        <v>12.87</v>
      </c>
      <c r="F68" s="79">
        <v>22.67</v>
      </c>
      <c r="G68" s="155">
        <v>35.54</v>
      </c>
    </row>
    <row r="69" spans="1:7" s="137" customFormat="1" ht="37.5" x14ac:dyDescent="0.2">
      <c r="A69" s="152" t="s">
        <v>287</v>
      </c>
      <c r="B69" s="164" t="s">
        <v>210</v>
      </c>
      <c r="C69" s="153" t="s">
        <v>225</v>
      </c>
      <c r="D69" s="155">
        <v>1.38</v>
      </c>
      <c r="E69" s="155">
        <v>1.66</v>
      </c>
      <c r="F69" s="79">
        <v>12.97</v>
      </c>
      <c r="G69" s="155">
        <v>14.63</v>
      </c>
    </row>
    <row r="70" spans="1:7" s="137" customFormat="1" ht="37.5" x14ac:dyDescent="0.2">
      <c r="A70" s="152" t="s">
        <v>288</v>
      </c>
      <c r="B70" s="164" t="s">
        <v>211</v>
      </c>
      <c r="C70" s="153" t="s">
        <v>225</v>
      </c>
      <c r="D70" s="155">
        <v>2.06</v>
      </c>
      <c r="E70" s="155">
        <v>2.27</v>
      </c>
      <c r="F70" s="79">
        <v>16.2</v>
      </c>
      <c r="G70" s="155">
        <v>18.47</v>
      </c>
    </row>
    <row r="71" spans="1:7" s="137" customFormat="1" ht="37.5" x14ac:dyDescent="0.2">
      <c r="A71" s="152" t="s">
        <v>289</v>
      </c>
      <c r="B71" s="164" t="s">
        <v>212</v>
      </c>
      <c r="C71" s="153" t="s">
        <v>225</v>
      </c>
      <c r="D71" s="155">
        <v>2.75</v>
      </c>
      <c r="E71" s="155">
        <v>3.0300000000000002</v>
      </c>
      <c r="F71" s="79">
        <v>19.46</v>
      </c>
      <c r="G71" s="155">
        <v>22.490000000000002</v>
      </c>
    </row>
    <row r="72" spans="1:7" s="137" customFormat="1" ht="37.5" x14ac:dyDescent="0.2">
      <c r="A72" s="152" t="s">
        <v>290</v>
      </c>
      <c r="B72" s="164" t="s">
        <v>213</v>
      </c>
      <c r="C72" s="153" t="s">
        <v>225</v>
      </c>
      <c r="D72" s="155">
        <v>3.44</v>
      </c>
      <c r="E72" s="155">
        <v>3.78</v>
      </c>
      <c r="F72" s="79">
        <v>22.67</v>
      </c>
      <c r="G72" s="155">
        <v>26.450000000000003</v>
      </c>
    </row>
    <row r="73" spans="1:7" s="137" customFormat="1" ht="40.5" customHeight="1" x14ac:dyDescent="0.2">
      <c r="A73" s="152" t="s">
        <v>291</v>
      </c>
      <c r="B73" s="157" t="s">
        <v>214</v>
      </c>
      <c r="C73" s="158"/>
      <c r="D73" s="158"/>
      <c r="E73" s="158"/>
      <c r="F73" s="158"/>
      <c r="G73" s="159"/>
    </row>
    <row r="74" spans="1:7" s="137" customFormat="1" ht="37.5" x14ac:dyDescent="0.2">
      <c r="A74" s="152" t="s">
        <v>291</v>
      </c>
      <c r="B74" s="165" t="s">
        <v>210</v>
      </c>
      <c r="C74" s="153" t="s">
        <v>220</v>
      </c>
      <c r="D74" s="155">
        <v>2.2799999999999994</v>
      </c>
      <c r="E74" s="155">
        <v>2.74</v>
      </c>
      <c r="F74" s="79">
        <v>12.97</v>
      </c>
      <c r="G74" s="155">
        <v>15.71</v>
      </c>
    </row>
    <row r="75" spans="1:7" s="137" customFormat="1" ht="37.5" x14ac:dyDescent="0.2">
      <c r="A75" s="160" t="s">
        <v>309</v>
      </c>
      <c r="B75" s="161" t="s">
        <v>211</v>
      </c>
      <c r="C75" s="153" t="s">
        <v>220</v>
      </c>
      <c r="D75" s="155">
        <v>3.0399999999999996</v>
      </c>
      <c r="E75" s="155">
        <v>3.65</v>
      </c>
      <c r="F75" s="79">
        <v>16.2</v>
      </c>
      <c r="G75" s="155">
        <v>19.849999999999998</v>
      </c>
    </row>
    <row r="76" spans="1:7" s="137" customFormat="1" ht="37.5" x14ac:dyDescent="0.2">
      <c r="A76" s="160" t="s">
        <v>308</v>
      </c>
      <c r="B76" s="161" t="s">
        <v>212</v>
      </c>
      <c r="C76" s="153" t="s">
        <v>220</v>
      </c>
      <c r="D76" s="155">
        <v>3.7999999999999994</v>
      </c>
      <c r="E76" s="155">
        <v>4.5599999999999996</v>
      </c>
      <c r="F76" s="79">
        <v>19.46</v>
      </c>
      <c r="G76" s="155">
        <v>24.02</v>
      </c>
    </row>
    <row r="77" spans="1:7" s="137" customFormat="1" ht="37.5" x14ac:dyDescent="0.2">
      <c r="A77" s="160" t="s">
        <v>310</v>
      </c>
      <c r="B77" s="161" t="s">
        <v>213</v>
      </c>
      <c r="C77" s="153" t="s">
        <v>220</v>
      </c>
      <c r="D77" s="155">
        <v>4.5599999999999987</v>
      </c>
      <c r="E77" s="155">
        <v>5.47</v>
      </c>
      <c r="F77" s="79">
        <v>22.67</v>
      </c>
      <c r="G77" s="155">
        <v>28.14</v>
      </c>
    </row>
    <row r="78" spans="1:7" s="137" customFormat="1" ht="37.5" x14ac:dyDescent="0.2">
      <c r="A78" s="152" t="s">
        <v>297</v>
      </c>
      <c r="B78" s="100" t="s">
        <v>170</v>
      </c>
      <c r="C78" s="153" t="s">
        <v>7</v>
      </c>
      <c r="D78" s="155">
        <v>6.51</v>
      </c>
      <c r="E78" s="155">
        <v>7.81</v>
      </c>
      <c r="F78" s="79">
        <v>12.97</v>
      </c>
      <c r="G78" s="155">
        <v>20.78</v>
      </c>
    </row>
    <row r="79" spans="1:7" s="137" customFormat="1" ht="75" x14ac:dyDescent="0.2">
      <c r="A79" s="152" t="s">
        <v>302</v>
      </c>
      <c r="B79" s="100" t="s">
        <v>171</v>
      </c>
      <c r="C79" s="153" t="s">
        <v>7</v>
      </c>
      <c r="D79" s="155">
        <v>4.3499999999999996</v>
      </c>
      <c r="E79" s="155">
        <v>5.22</v>
      </c>
      <c r="F79" s="79">
        <v>16.2</v>
      </c>
      <c r="G79" s="155">
        <v>21.419999999999998</v>
      </c>
    </row>
    <row r="80" spans="1:7" s="137" customFormat="1" ht="56.25" x14ac:dyDescent="0.2">
      <c r="A80" s="152" t="s">
        <v>298</v>
      </c>
      <c r="B80" s="100" t="s">
        <v>172</v>
      </c>
      <c r="C80" s="153" t="s">
        <v>7</v>
      </c>
      <c r="D80" s="155">
        <v>1.08</v>
      </c>
      <c r="E80" s="155">
        <v>1.3</v>
      </c>
      <c r="F80" s="79">
        <v>16.2</v>
      </c>
      <c r="G80" s="155">
        <v>17.5</v>
      </c>
    </row>
    <row r="81" spans="1:7" s="137" customFormat="1" ht="37.5" x14ac:dyDescent="0.2">
      <c r="A81" s="152" t="s">
        <v>292</v>
      </c>
      <c r="B81" s="100" t="s">
        <v>215</v>
      </c>
      <c r="C81" s="153" t="s">
        <v>7</v>
      </c>
      <c r="D81" s="155">
        <v>1.0900000000000001</v>
      </c>
      <c r="E81" s="155">
        <v>1.31</v>
      </c>
      <c r="F81" s="79">
        <v>12.97</v>
      </c>
      <c r="G81" s="155">
        <v>14.280000000000001</v>
      </c>
    </row>
    <row r="82" spans="1:7" s="137" customFormat="1" ht="37.5" x14ac:dyDescent="0.2">
      <c r="A82" s="152" t="s">
        <v>299</v>
      </c>
      <c r="B82" s="100" t="s">
        <v>173</v>
      </c>
      <c r="C82" s="153" t="s">
        <v>7</v>
      </c>
      <c r="D82" s="155">
        <v>1.0900000000000001</v>
      </c>
      <c r="E82" s="155">
        <v>1.31</v>
      </c>
      <c r="F82" s="79">
        <v>6.48</v>
      </c>
      <c r="G82" s="155">
        <v>7.7900000000000009</v>
      </c>
    </row>
    <row r="83" spans="1:7" s="137" customFormat="1" ht="56.25" x14ac:dyDescent="0.2">
      <c r="A83" s="152" t="s">
        <v>300</v>
      </c>
      <c r="B83" s="100" t="s">
        <v>174</v>
      </c>
      <c r="C83" s="153" t="s">
        <v>7</v>
      </c>
      <c r="D83" s="155">
        <v>1.0900000000000001</v>
      </c>
      <c r="E83" s="155">
        <v>1.31</v>
      </c>
      <c r="F83" s="79">
        <v>9.6999999999999993</v>
      </c>
      <c r="G83" s="155">
        <v>11.01</v>
      </c>
    </row>
    <row r="84" spans="1:7" s="137" customFormat="1" ht="30" customHeight="1" x14ac:dyDescent="0.2">
      <c r="A84" s="152" t="s">
        <v>293</v>
      </c>
      <c r="B84" s="100" t="s">
        <v>148</v>
      </c>
      <c r="C84" s="153" t="s">
        <v>7</v>
      </c>
      <c r="D84" s="155">
        <v>3.24</v>
      </c>
      <c r="E84" s="155">
        <v>3.89</v>
      </c>
      <c r="F84" s="79">
        <v>2.56</v>
      </c>
      <c r="G84" s="155">
        <v>6.45</v>
      </c>
    </row>
    <row r="85" spans="1:7" s="137" customFormat="1" ht="56.25" x14ac:dyDescent="0.2">
      <c r="A85" s="152" t="s">
        <v>294</v>
      </c>
      <c r="B85" s="100" t="s">
        <v>306</v>
      </c>
      <c r="C85" s="153" t="s">
        <v>7</v>
      </c>
      <c r="D85" s="155">
        <v>5.1775757575757577</v>
      </c>
      <c r="E85" s="155">
        <v>6.22</v>
      </c>
      <c r="F85" s="79">
        <v>9.6999999999999993</v>
      </c>
      <c r="G85" s="155">
        <v>15.919999999999998</v>
      </c>
    </row>
    <row r="86" spans="1:7" s="137" customFormat="1" ht="56.25" x14ac:dyDescent="0.2">
      <c r="A86" s="152" t="s">
        <v>295</v>
      </c>
      <c r="B86" s="100" t="s">
        <v>305</v>
      </c>
      <c r="C86" s="153" t="s">
        <v>7</v>
      </c>
      <c r="D86" s="155">
        <v>6.4575757575757571</v>
      </c>
      <c r="E86" s="155">
        <v>7.75</v>
      </c>
      <c r="F86" s="79">
        <v>5.2</v>
      </c>
      <c r="G86" s="155">
        <v>12.95</v>
      </c>
    </row>
    <row r="87" spans="1:7" s="137" customFormat="1" ht="37.5" x14ac:dyDescent="0.2">
      <c r="A87" s="152" t="s">
        <v>296</v>
      </c>
      <c r="B87" s="100" t="s">
        <v>216</v>
      </c>
      <c r="C87" s="153" t="s">
        <v>7</v>
      </c>
      <c r="D87" s="155">
        <v>5.1775757575757577</v>
      </c>
      <c r="E87" s="155">
        <v>6.22</v>
      </c>
      <c r="F87" s="79">
        <v>6.48</v>
      </c>
      <c r="G87" s="155">
        <v>12.7</v>
      </c>
    </row>
    <row r="88" spans="1:7" s="137" customFormat="1" ht="29.25" customHeight="1" x14ac:dyDescent="0.2">
      <c r="A88" s="152" t="s">
        <v>301</v>
      </c>
      <c r="B88" s="100" t="s">
        <v>175</v>
      </c>
      <c r="C88" s="153" t="s">
        <v>7</v>
      </c>
      <c r="D88" s="155">
        <v>1.28</v>
      </c>
      <c r="E88" s="155">
        <v>1.54</v>
      </c>
      <c r="F88" s="79">
        <v>3.24</v>
      </c>
      <c r="G88" s="155">
        <v>4.78</v>
      </c>
    </row>
    <row r="89" spans="1:7" s="137" customFormat="1" ht="18.75" customHeight="1" x14ac:dyDescent="0.2">
      <c r="A89" s="149" t="s">
        <v>149</v>
      </c>
      <c r="B89" s="150" t="s">
        <v>181</v>
      </c>
      <c r="C89" s="151"/>
      <c r="D89" s="151"/>
      <c r="E89" s="151"/>
      <c r="F89" s="151"/>
      <c r="G89" s="151"/>
    </row>
    <row r="90" spans="1:7" s="137" customFormat="1" ht="30" customHeight="1" x14ac:dyDescent="0.2">
      <c r="A90" s="152" t="s">
        <v>304</v>
      </c>
      <c r="B90" s="100" t="s">
        <v>221</v>
      </c>
      <c r="C90" s="153" t="s">
        <v>7</v>
      </c>
      <c r="D90" s="155">
        <v>0.84999999999999987</v>
      </c>
      <c r="E90" s="155">
        <v>1.02</v>
      </c>
      <c r="F90" s="79">
        <v>6.48</v>
      </c>
      <c r="G90" s="155">
        <v>7.5</v>
      </c>
    </row>
    <row r="91" spans="1:7" x14ac:dyDescent="0.3">
      <c r="B91" s="169"/>
      <c r="D91" s="169"/>
      <c r="E91" s="169"/>
    </row>
  </sheetData>
  <mergeCells count="17">
    <mergeCell ref="B89:G89"/>
    <mergeCell ref="B8:G8"/>
    <mergeCell ref="B25:G25"/>
    <mergeCell ref="B26:G26"/>
    <mergeCell ref="B36:G36"/>
    <mergeCell ref="B52:G52"/>
    <mergeCell ref="B73:G73"/>
    <mergeCell ref="A1:G1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1.1811023622047245" right="0.39370078740157483" top="0.78740157480314965" bottom="0.78740157480314965" header="0.39370078740157483" footer="0.39370078740157483"/>
  <pageSetup paperSize="9" scale="60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49"/>
  <sheetViews>
    <sheetView topLeftCell="A16" workbookViewId="0">
      <selection activeCell="H35" sqref="H35"/>
    </sheetView>
  </sheetViews>
  <sheetFormatPr defaultColWidth="9.140625" defaultRowHeight="15.75" x14ac:dyDescent="0.25"/>
  <cols>
    <col min="1" max="1" width="5.140625" style="14" customWidth="1"/>
    <col min="2" max="2" width="67.85546875" style="14" customWidth="1"/>
    <col min="3" max="3" width="13.7109375" style="14" customWidth="1"/>
    <col min="4" max="5" width="9.140625" style="14"/>
    <col min="6" max="6" width="5.140625" style="14" customWidth="1"/>
    <col min="7" max="7" width="67.85546875" style="14" customWidth="1"/>
    <col min="8" max="8" width="13.7109375" style="14" customWidth="1"/>
    <col min="9" max="9" width="9.140625" style="14"/>
    <col min="10" max="10" width="11.5703125" style="14" customWidth="1"/>
    <col min="11" max="11" width="10.42578125" style="14" customWidth="1"/>
    <col min="12" max="16384" width="9.140625" style="14"/>
  </cols>
  <sheetData>
    <row r="1" spans="1:12" x14ac:dyDescent="0.25">
      <c r="C1" s="116" t="s">
        <v>0</v>
      </c>
      <c r="D1" s="116"/>
      <c r="E1" s="116"/>
      <c r="F1" s="116"/>
      <c r="G1" s="116"/>
      <c r="H1" s="116" t="s">
        <v>0</v>
      </c>
      <c r="I1" s="116"/>
      <c r="J1" s="116"/>
      <c r="K1" s="116"/>
      <c r="L1" s="116"/>
    </row>
    <row r="2" spans="1:12" x14ac:dyDescent="0.25">
      <c r="C2" s="116" t="s">
        <v>162</v>
      </c>
      <c r="D2" s="116"/>
      <c r="E2" s="116"/>
      <c r="F2" s="116"/>
      <c r="G2" s="116"/>
      <c r="H2" s="116" t="s">
        <v>162</v>
      </c>
      <c r="I2" s="116"/>
      <c r="J2" s="116"/>
      <c r="K2" s="116"/>
      <c r="L2" s="116"/>
    </row>
    <row r="3" spans="1:12" x14ac:dyDescent="0.25">
      <c r="C3" s="116" t="s">
        <v>11</v>
      </c>
      <c r="D3" s="116"/>
      <c r="E3" s="116"/>
      <c r="F3" s="116"/>
      <c r="G3" s="116"/>
      <c r="H3" s="116" t="s">
        <v>11</v>
      </c>
      <c r="I3" s="116"/>
      <c r="J3" s="116"/>
      <c r="K3" s="116"/>
      <c r="L3" s="116"/>
    </row>
    <row r="4" spans="1:12" x14ac:dyDescent="0.25">
      <c r="C4" s="116" t="s">
        <v>163</v>
      </c>
      <c r="D4" s="116"/>
      <c r="E4" s="116"/>
      <c r="F4" s="116"/>
      <c r="G4" s="116"/>
      <c r="H4" s="116" t="s">
        <v>163</v>
      </c>
      <c r="I4" s="116"/>
      <c r="J4" s="116"/>
      <c r="K4" s="116"/>
      <c r="L4" s="116"/>
    </row>
    <row r="5" spans="1:12" x14ac:dyDescent="0.25">
      <c r="C5" s="116" t="s">
        <v>164</v>
      </c>
      <c r="D5" s="116"/>
      <c r="E5" s="116"/>
      <c r="F5" s="116"/>
      <c r="G5" s="116"/>
      <c r="H5" s="116" t="s">
        <v>164</v>
      </c>
      <c r="I5" s="116"/>
      <c r="J5" s="116"/>
      <c r="K5" s="116"/>
      <c r="L5" s="116"/>
    </row>
    <row r="6" spans="1:12" x14ac:dyDescent="0.25">
      <c r="A6" s="114" t="s">
        <v>14</v>
      </c>
      <c r="B6" s="114"/>
      <c r="C6" s="114"/>
      <c r="F6" s="114" t="s">
        <v>14</v>
      </c>
      <c r="G6" s="114"/>
      <c r="H6" s="114"/>
    </row>
    <row r="7" spans="1:12" x14ac:dyDescent="0.25">
      <c r="A7" s="115" t="s">
        <v>36</v>
      </c>
      <c r="B7" s="115"/>
      <c r="C7" s="115"/>
      <c r="F7" s="115" t="s">
        <v>37</v>
      </c>
      <c r="G7" s="115"/>
      <c r="H7" s="115"/>
    </row>
    <row r="8" spans="1:12" x14ac:dyDescent="0.25">
      <c r="A8" s="15"/>
      <c r="B8" s="15"/>
      <c r="C8" s="15"/>
      <c r="F8" s="15"/>
      <c r="G8" s="15"/>
      <c r="H8" s="15"/>
    </row>
    <row r="9" spans="1:12" ht="47.25" x14ac:dyDescent="0.25">
      <c r="A9" s="16" t="s">
        <v>38</v>
      </c>
      <c r="B9" s="16" t="s">
        <v>39</v>
      </c>
      <c r="C9" s="16" t="s">
        <v>40</v>
      </c>
      <c r="F9" s="16" t="s">
        <v>38</v>
      </c>
      <c r="G9" s="16" t="s">
        <v>39</v>
      </c>
      <c r="H9" s="16" t="s">
        <v>40</v>
      </c>
      <c r="J9" s="4" t="s">
        <v>41</v>
      </c>
      <c r="K9" s="17" t="s">
        <v>42</v>
      </c>
    </row>
    <row r="10" spans="1:12" x14ac:dyDescent="0.25">
      <c r="A10" s="10">
        <v>1</v>
      </c>
      <c r="B10" s="11" t="s">
        <v>43</v>
      </c>
      <c r="C10" s="18">
        <f>4473.372*1.8</f>
        <v>8052.0696000000007</v>
      </c>
      <c r="F10" s="10">
        <v>1</v>
      </c>
      <c r="G10" s="11" t="s">
        <v>43</v>
      </c>
      <c r="H10" s="18">
        <f>$I$33*J10/$J$33</f>
        <v>8457.177866270893</v>
      </c>
      <c r="J10" s="19">
        <f>26006.6+94.9</f>
        <v>26101.5</v>
      </c>
      <c r="K10" s="20"/>
    </row>
    <row r="11" spans="1:12" x14ac:dyDescent="0.25">
      <c r="A11" s="10">
        <v>2</v>
      </c>
      <c r="B11" s="11" t="s">
        <v>44</v>
      </c>
      <c r="C11" s="18">
        <f>C12+C13</f>
        <v>2773.1327702399999</v>
      </c>
      <c r="F11" s="10">
        <v>2</v>
      </c>
      <c r="G11" s="11" t="s">
        <v>44</v>
      </c>
      <c r="H11" s="18">
        <f>H12+H13</f>
        <v>4708.012078541944</v>
      </c>
      <c r="J11" s="19">
        <f>J12+J13</f>
        <v>14530.399999999998</v>
      </c>
      <c r="K11" s="20"/>
    </row>
    <row r="12" spans="1:12" ht="31.5" x14ac:dyDescent="0.25">
      <c r="A12" s="21" t="s">
        <v>10</v>
      </c>
      <c r="B12" s="11" t="s">
        <v>25</v>
      </c>
      <c r="C12" s="18">
        <f>C10*D12/100</f>
        <v>2737.7036640000001</v>
      </c>
      <c r="D12" s="14">
        <v>34</v>
      </c>
      <c r="F12" s="21" t="s">
        <v>10</v>
      </c>
      <c r="G12" s="11" t="s">
        <v>25</v>
      </c>
      <c r="H12" s="18">
        <f>$I$33*J12/$J$33</f>
        <v>4644.4086835206244</v>
      </c>
      <c r="I12" s="14">
        <v>34</v>
      </c>
      <c r="J12" s="19">
        <f>14301.8+32.3</f>
        <v>14334.099999999999</v>
      </c>
      <c r="K12" s="20">
        <v>34</v>
      </c>
    </row>
    <row r="13" spans="1:12" ht="31.5" x14ac:dyDescent="0.25">
      <c r="A13" s="21" t="s">
        <v>45</v>
      </c>
      <c r="B13" s="11" t="s">
        <v>27</v>
      </c>
      <c r="C13" s="18">
        <f>C10*D13/100</f>
        <v>35.429106240000003</v>
      </c>
      <c r="D13" s="14">
        <v>0.44</v>
      </c>
      <c r="F13" s="21" t="s">
        <v>45</v>
      </c>
      <c r="G13" s="11" t="s">
        <v>27</v>
      </c>
      <c r="H13" s="18">
        <f>$I$33*J13/$J$33</f>
        <v>63.603395021319699</v>
      </c>
      <c r="I13" s="14">
        <v>0.34</v>
      </c>
      <c r="J13" s="19">
        <f>195.9+0.4</f>
        <v>196.3</v>
      </c>
      <c r="K13" s="20">
        <v>0.34</v>
      </c>
    </row>
    <row r="14" spans="1:12" x14ac:dyDescent="0.25">
      <c r="A14" s="10">
        <v>3</v>
      </c>
      <c r="B14" s="11" t="s">
        <v>46</v>
      </c>
      <c r="C14" s="18"/>
      <c r="F14" s="10">
        <v>3</v>
      </c>
      <c r="G14" s="11" t="s">
        <v>46</v>
      </c>
      <c r="H14" s="18"/>
      <c r="J14" s="19"/>
      <c r="K14" s="20"/>
    </row>
    <row r="15" spans="1:12" ht="31.5" x14ac:dyDescent="0.25">
      <c r="A15" s="10">
        <v>4</v>
      </c>
      <c r="B15" s="11" t="s">
        <v>47</v>
      </c>
      <c r="C15" s="18"/>
      <c r="F15" s="10">
        <v>4</v>
      </c>
      <c r="G15" s="11" t="s">
        <v>47</v>
      </c>
      <c r="H15" s="18">
        <f>$I$33*J15/$J$33</f>
        <v>1271.9058948354075</v>
      </c>
      <c r="J15" s="19">
        <v>3925.5</v>
      </c>
      <c r="K15" s="20"/>
    </row>
    <row r="16" spans="1:12" x14ac:dyDescent="0.25">
      <c r="A16" s="10">
        <v>5</v>
      </c>
      <c r="B16" s="11" t="s">
        <v>48</v>
      </c>
      <c r="C16" s="18">
        <f>SUM(C18:C20)</f>
        <v>971.80000000000007</v>
      </c>
      <c r="F16" s="10">
        <v>5</v>
      </c>
      <c r="G16" s="11" t="s">
        <v>48</v>
      </c>
      <c r="H16" s="18">
        <f>SUM(H18:H20)</f>
        <v>1458.0179177607565</v>
      </c>
      <c r="J16" s="19">
        <f>SUM(J18:J20)</f>
        <v>4499.8999999999996</v>
      </c>
      <c r="K16" s="20"/>
    </row>
    <row r="17" spans="1:11" x14ac:dyDescent="0.25">
      <c r="A17" s="10"/>
      <c r="B17" s="11" t="s">
        <v>49</v>
      </c>
      <c r="C17" s="18"/>
      <c r="F17" s="10"/>
      <c r="G17" s="11" t="s">
        <v>49</v>
      </c>
      <c r="H17" s="18"/>
      <c r="J17" s="19"/>
      <c r="K17" s="20"/>
    </row>
    <row r="18" spans="1:11" x14ac:dyDescent="0.25">
      <c r="A18" s="21" t="s">
        <v>50</v>
      </c>
      <c r="B18" s="11" t="s">
        <v>51</v>
      </c>
      <c r="C18" s="18">
        <v>143.1</v>
      </c>
      <c r="F18" s="21" t="s">
        <v>50</v>
      </c>
      <c r="G18" s="11" t="s">
        <v>51</v>
      </c>
      <c r="H18" s="18">
        <f>$I$33*J18/$J$33</f>
        <v>0</v>
      </c>
      <c r="J18" s="19"/>
      <c r="K18" s="20"/>
    </row>
    <row r="19" spans="1:11" x14ac:dyDescent="0.25">
      <c r="A19" s="21" t="s">
        <v>52</v>
      </c>
      <c r="B19" s="11" t="s">
        <v>53</v>
      </c>
      <c r="C19" s="18">
        <v>748.7</v>
      </c>
      <c r="F19" s="21" t="s">
        <v>52</v>
      </c>
      <c r="G19" s="11" t="s">
        <v>53</v>
      </c>
      <c r="H19" s="18">
        <f>$I$33*J19/$J$33</f>
        <v>1130.8638273225167</v>
      </c>
      <c r="J19" s="19">
        <v>3490.2</v>
      </c>
      <c r="K19" s="20"/>
    </row>
    <row r="20" spans="1:11" x14ac:dyDescent="0.25">
      <c r="A20" s="21" t="s">
        <v>54</v>
      </c>
      <c r="B20" s="11" t="s">
        <v>55</v>
      </c>
      <c r="C20" s="18">
        <v>80</v>
      </c>
      <c r="F20" s="21" t="s">
        <v>54</v>
      </c>
      <c r="G20" s="11" t="s">
        <v>55</v>
      </c>
      <c r="H20" s="18">
        <f>$I$33*J20/$J$33</f>
        <v>327.1540904382399</v>
      </c>
      <c r="J20" s="19">
        <f>1001.4+8.3</f>
        <v>1009.6999999999999</v>
      </c>
      <c r="K20" s="20"/>
    </row>
    <row r="21" spans="1:11" ht="31.5" x14ac:dyDescent="0.25">
      <c r="A21" s="10">
        <v>6</v>
      </c>
      <c r="B21" s="11" t="s">
        <v>56</v>
      </c>
      <c r="C21" s="18"/>
      <c r="F21" s="10">
        <v>6</v>
      </c>
      <c r="G21" s="11" t="s">
        <v>56</v>
      </c>
      <c r="H21" s="18">
        <f t="shared" ref="H21:H31" si="0">$I$33*J21/$J$33</f>
        <v>0</v>
      </c>
      <c r="J21" s="19"/>
      <c r="K21" s="20"/>
    </row>
    <row r="22" spans="1:11" x14ac:dyDescent="0.25">
      <c r="A22" s="10">
        <v>7</v>
      </c>
      <c r="B22" s="11" t="s">
        <v>57</v>
      </c>
      <c r="C22" s="18">
        <v>14.5</v>
      </c>
      <c r="F22" s="10">
        <v>7</v>
      </c>
      <c r="G22" s="11" t="s">
        <v>57</v>
      </c>
      <c r="H22" s="18">
        <f t="shared" si="0"/>
        <v>144.96260281476532</v>
      </c>
      <c r="J22" s="19">
        <f>328.2+119.2</f>
        <v>447.4</v>
      </c>
      <c r="K22" s="20"/>
    </row>
    <row r="23" spans="1:11" x14ac:dyDescent="0.25">
      <c r="A23" s="10">
        <v>8</v>
      </c>
      <c r="B23" s="11" t="s">
        <v>58</v>
      </c>
      <c r="C23" s="18"/>
      <c r="F23" s="10">
        <v>8</v>
      </c>
      <c r="G23" s="11" t="s">
        <v>58</v>
      </c>
      <c r="H23" s="18">
        <f t="shared" si="0"/>
        <v>1835.1021313410513</v>
      </c>
      <c r="J23" s="19">
        <v>5663.7</v>
      </c>
      <c r="K23" s="20"/>
    </row>
    <row r="24" spans="1:11" x14ac:dyDescent="0.25">
      <c r="A24" s="10">
        <v>9</v>
      </c>
      <c r="B24" s="11" t="s">
        <v>59</v>
      </c>
      <c r="C24" s="18">
        <v>735.04</v>
      </c>
      <c r="F24" s="10">
        <v>9</v>
      </c>
      <c r="G24" s="11" t="s">
        <v>60</v>
      </c>
      <c r="H24" s="18">
        <f t="shared" si="0"/>
        <v>575.86507372079222</v>
      </c>
      <c r="J24" s="19">
        <v>1777.3</v>
      </c>
      <c r="K24" s="20"/>
    </row>
    <row r="25" spans="1:11" x14ac:dyDescent="0.25">
      <c r="A25" s="10">
        <v>10</v>
      </c>
      <c r="B25" s="11" t="s">
        <v>61</v>
      </c>
      <c r="C25" s="18">
        <v>11.965</v>
      </c>
      <c r="F25" s="10">
        <v>10</v>
      </c>
      <c r="G25" s="11" t="s">
        <v>61</v>
      </c>
      <c r="H25" s="18">
        <f t="shared" si="0"/>
        <v>1920.4790777909634</v>
      </c>
      <c r="J25" s="19">
        <v>5927.2</v>
      </c>
      <c r="K25" s="20"/>
    </row>
    <row r="26" spans="1:11" ht="31.5" x14ac:dyDescent="0.25">
      <c r="A26" s="10">
        <v>11</v>
      </c>
      <c r="B26" s="11" t="s">
        <v>62</v>
      </c>
      <c r="C26" s="18">
        <v>654.02</v>
      </c>
      <c r="F26" s="10">
        <v>11</v>
      </c>
      <c r="G26" s="11" t="s">
        <v>62</v>
      </c>
      <c r="H26" s="18">
        <f t="shared" si="0"/>
        <v>4260.9090485372626</v>
      </c>
      <c r="J26" s="19">
        <v>13150.5</v>
      </c>
      <c r="K26" s="20"/>
    </row>
    <row r="27" spans="1:11" ht="31.5" x14ac:dyDescent="0.25">
      <c r="A27" s="10">
        <v>12</v>
      </c>
      <c r="B27" s="11" t="s">
        <v>63</v>
      </c>
      <c r="C27" s="18">
        <v>665.68100000000004</v>
      </c>
      <c r="F27" s="10">
        <v>12</v>
      </c>
      <c r="G27" s="11" t="s">
        <v>63</v>
      </c>
      <c r="H27" s="18">
        <f t="shared" si="0"/>
        <v>0</v>
      </c>
      <c r="J27" s="19"/>
      <c r="K27" s="20"/>
    </row>
    <row r="28" spans="1:11" ht="31.5" x14ac:dyDescent="0.25">
      <c r="A28" s="10">
        <v>13</v>
      </c>
      <c r="B28" s="11" t="s">
        <v>64</v>
      </c>
      <c r="C28" s="18"/>
      <c r="F28" s="10">
        <v>13</v>
      </c>
      <c r="G28" s="11" t="s">
        <v>64</v>
      </c>
      <c r="H28" s="18">
        <f t="shared" si="0"/>
        <v>45.523571067220672</v>
      </c>
      <c r="J28" s="19">
        <v>140.5</v>
      </c>
      <c r="K28" s="20"/>
    </row>
    <row r="29" spans="1:11" x14ac:dyDescent="0.25">
      <c r="A29" s="10">
        <v>14</v>
      </c>
      <c r="B29" s="11" t="s">
        <v>65</v>
      </c>
      <c r="C29" s="18"/>
      <c r="F29" s="10">
        <v>14</v>
      </c>
      <c r="G29" s="11" t="s">
        <v>65</v>
      </c>
      <c r="H29" s="18">
        <f t="shared" si="0"/>
        <v>652.04010260266818</v>
      </c>
      <c r="J29" s="19">
        <v>2012.4</v>
      </c>
      <c r="K29" s="20"/>
    </row>
    <row r="30" spans="1:11" x14ac:dyDescent="0.25">
      <c r="A30" s="10">
        <v>15</v>
      </c>
      <c r="B30" s="11" t="s">
        <v>66</v>
      </c>
      <c r="C30" s="18"/>
      <c r="F30" s="10">
        <v>15</v>
      </c>
      <c r="G30" s="11" t="s">
        <v>66</v>
      </c>
      <c r="H30" s="18">
        <f t="shared" si="0"/>
        <v>0</v>
      </c>
      <c r="J30" s="19"/>
      <c r="K30" s="20"/>
    </row>
    <row r="31" spans="1:11" x14ac:dyDescent="0.25">
      <c r="A31" s="10">
        <v>16</v>
      </c>
      <c r="B31" s="11" t="s">
        <v>67</v>
      </c>
      <c r="C31" s="18"/>
      <c r="F31" s="10">
        <v>16</v>
      </c>
      <c r="G31" s="11" t="s">
        <v>67</v>
      </c>
      <c r="H31" s="18">
        <f t="shared" si="0"/>
        <v>3161.7659159299128</v>
      </c>
      <c r="J31" s="19">
        <v>9758.2000000000007</v>
      </c>
      <c r="K31" s="20"/>
    </row>
    <row r="32" spans="1:11" x14ac:dyDescent="0.25">
      <c r="A32" s="10">
        <v>17</v>
      </c>
      <c r="B32" s="11" t="s">
        <v>30</v>
      </c>
      <c r="C32" s="18">
        <v>1272.2</v>
      </c>
      <c r="F32" s="10">
        <v>17</v>
      </c>
      <c r="G32" s="11" t="s">
        <v>30</v>
      </c>
      <c r="H32" s="18">
        <f>$I$33*J32/$J$33</f>
        <v>2443.2387187863646</v>
      </c>
      <c r="J32" s="19">
        <v>7540.6</v>
      </c>
      <c r="K32" s="20"/>
    </row>
    <row r="33" spans="1:11" x14ac:dyDescent="0.25">
      <c r="A33" s="10">
        <v>18</v>
      </c>
      <c r="B33" s="11" t="s">
        <v>34</v>
      </c>
      <c r="C33" s="18">
        <f>C10+C11+SUM(C14:C16)+SUM(C21:C32)</f>
        <v>15150.408370239998</v>
      </c>
      <c r="F33" s="10">
        <v>18</v>
      </c>
      <c r="G33" s="11" t="s">
        <v>34</v>
      </c>
      <c r="H33" s="18">
        <f>H10+H11+SUM(H14:H16)+SUM(H21:H32)</f>
        <v>30935</v>
      </c>
      <c r="I33" s="22">
        <v>30935</v>
      </c>
      <c r="J33" s="19">
        <f>J10+J11+SUM(J14:J16)+SUM(J21:J32)</f>
        <v>95475.099999999991</v>
      </c>
      <c r="K33" s="20"/>
    </row>
    <row r="34" spans="1:11" x14ac:dyDescent="0.25">
      <c r="A34" s="10">
        <v>19</v>
      </c>
      <c r="B34" s="11" t="s">
        <v>68</v>
      </c>
      <c r="C34" s="18">
        <f>9303.344*1.8</f>
        <v>16746.019199999999</v>
      </c>
      <c r="F34" s="10">
        <v>19</v>
      </c>
      <c r="G34" s="11" t="s">
        <v>68</v>
      </c>
      <c r="H34" s="18">
        <v>45255.650999999998</v>
      </c>
    </row>
    <row r="35" spans="1:11" x14ac:dyDescent="0.25">
      <c r="A35" s="10">
        <v>20</v>
      </c>
      <c r="B35" s="11" t="s">
        <v>69</v>
      </c>
      <c r="C35" s="23">
        <f>ROUND((C33/C34*100),1)</f>
        <v>90.5</v>
      </c>
      <c r="F35" s="10">
        <v>20</v>
      </c>
      <c r="G35" s="11" t="s">
        <v>69</v>
      </c>
      <c r="H35" s="23">
        <f>ROUND((H33/H34*100),1)</f>
        <v>68.400000000000006</v>
      </c>
    </row>
    <row r="37" spans="1:11" x14ac:dyDescent="0.25">
      <c r="B37" s="13"/>
      <c r="G37" s="14" t="s">
        <v>70</v>
      </c>
    </row>
    <row r="38" spans="1:11" x14ac:dyDescent="0.25">
      <c r="B38" s="1"/>
      <c r="G38" s="14" t="s">
        <v>144</v>
      </c>
    </row>
    <row r="39" spans="1:11" x14ac:dyDescent="0.25">
      <c r="B39" s="1" t="s">
        <v>71</v>
      </c>
      <c r="G39" s="14" t="s">
        <v>145</v>
      </c>
    </row>
    <row r="40" spans="1:11" x14ac:dyDescent="0.25">
      <c r="F40"/>
      <c r="G40" s="14" t="s">
        <v>146</v>
      </c>
      <c r="H40"/>
      <c r="I40"/>
      <c r="J40"/>
    </row>
    <row r="41" spans="1:11" x14ac:dyDescent="0.25">
      <c r="F41"/>
      <c r="G41" s="14" t="s">
        <v>147</v>
      </c>
      <c r="H41" s="24">
        <f>44893404/56233288</f>
        <v>0.79834214922662894</v>
      </c>
      <c r="I41"/>
      <c r="J41"/>
    </row>
    <row r="42" spans="1:11" x14ac:dyDescent="0.25">
      <c r="F42"/>
      <c r="G42"/>
      <c r="H42"/>
      <c r="I42"/>
      <c r="J42"/>
    </row>
    <row r="43" spans="1:11" x14ac:dyDescent="0.25">
      <c r="F43"/>
      <c r="G43" s="1" t="s">
        <v>72</v>
      </c>
      <c r="H43"/>
      <c r="I43"/>
      <c r="J43"/>
    </row>
    <row r="44" spans="1:11" x14ac:dyDescent="0.25">
      <c r="F44"/>
      <c r="G44"/>
      <c r="H44"/>
      <c r="I44"/>
      <c r="J44"/>
    </row>
    <row r="45" spans="1:11" x14ac:dyDescent="0.25">
      <c r="F45"/>
      <c r="G45" s="13"/>
      <c r="H45"/>
      <c r="I45"/>
      <c r="J45"/>
    </row>
    <row r="46" spans="1:11" x14ac:dyDescent="0.25">
      <c r="F46"/>
      <c r="G46" s="1"/>
      <c r="H46"/>
      <c r="I46"/>
      <c r="J46"/>
    </row>
    <row r="47" spans="1:11" x14ac:dyDescent="0.25">
      <c r="F47"/>
      <c r="G47" s="1"/>
      <c r="H47"/>
      <c r="I47"/>
      <c r="J47"/>
    </row>
    <row r="48" spans="1:11" x14ac:dyDescent="0.25">
      <c r="F48"/>
      <c r="G48"/>
      <c r="H48"/>
      <c r="I48"/>
      <c r="J48"/>
    </row>
    <row r="49" spans="6:10" x14ac:dyDescent="0.25">
      <c r="F49"/>
      <c r="G49"/>
      <c r="H49"/>
      <c r="I49"/>
      <c r="J49"/>
    </row>
  </sheetData>
  <mergeCells count="14">
    <mergeCell ref="A6:C6"/>
    <mergeCell ref="F6:H6"/>
    <mergeCell ref="A7:C7"/>
    <mergeCell ref="F7:H7"/>
    <mergeCell ref="C1:G1"/>
    <mergeCell ref="C2:G2"/>
    <mergeCell ref="C3:G3"/>
    <mergeCell ref="C4:G4"/>
    <mergeCell ref="C5:G5"/>
    <mergeCell ref="H1:L1"/>
    <mergeCell ref="H2:L2"/>
    <mergeCell ref="H3:L3"/>
    <mergeCell ref="H4:L4"/>
    <mergeCell ref="H5:L5"/>
  </mergeCells>
  <phoneticPr fontId="14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8"/>
  <sheetViews>
    <sheetView topLeftCell="A10" workbookViewId="0">
      <selection activeCell="H35" sqref="H35"/>
    </sheetView>
  </sheetViews>
  <sheetFormatPr defaultRowHeight="12.75" x14ac:dyDescent="0.2"/>
  <cols>
    <col min="2" max="2" width="4.7109375" customWidth="1"/>
    <col min="3" max="3" width="25.5703125" customWidth="1"/>
    <col min="4" max="4" width="15.140625" customWidth="1"/>
    <col min="5" max="5" width="18.5703125" customWidth="1"/>
    <col min="6" max="6" width="23.85546875" customWidth="1"/>
    <col min="7" max="7" width="16" customWidth="1"/>
    <col min="8" max="8" width="20.140625" customWidth="1"/>
  </cols>
  <sheetData>
    <row r="1" spans="2:17" ht="15.75" x14ac:dyDescent="0.25">
      <c r="B1" s="114" t="s">
        <v>14</v>
      </c>
      <c r="C1" s="114"/>
      <c r="D1" s="114"/>
      <c r="E1" s="114"/>
      <c r="F1" s="114"/>
      <c r="G1" s="114"/>
      <c r="H1" s="114"/>
    </row>
    <row r="2" spans="2:17" ht="15.75" x14ac:dyDescent="0.25">
      <c r="B2" s="114" t="s">
        <v>15</v>
      </c>
      <c r="C2" s="114"/>
      <c r="D2" s="114"/>
      <c r="E2" s="114"/>
      <c r="F2" s="114"/>
      <c r="G2" s="114"/>
      <c r="H2" s="114"/>
    </row>
    <row r="3" spans="2:17" ht="15.75" x14ac:dyDescent="0.25">
      <c r="B3" s="114" t="s">
        <v>73</v>
      </c>
      <c r="C3" s="114"/>
      <c r="D3" s="114"/>
      <c r="E3" s="114"/>
      <c r="F3" s="114"/>
      <c r="G3" s="114"/>
      <c r="H3" s="114"/>
      <c r="Q3" s="1"/>
    </row>
    <row r="4" spans="2:17" x14ac:dyDescent="0.2">
      <c r="B4" s="119" t="s">
        <v>16</v>
      </c>
      <c r="C4" s="119"/>
      <c r="D4" s="119"/>
      <c r="E4" s="119"/>
      <c r="F4" s="119"/>
      <c r="G4" s="119"/>
      <c r="H4" s="119"/>
      <c r="Q4" s="2"/>
    </row>
    <row r="5" spans="2:17" ht="15.75" customHeight="1" x14ac:dyDescent="0.25">
      <c r="B5" s="3"/>
      <c r="Q5" s="1"/>
    </row>
    <row r="6" spans="2:17" ht="25.5" customHeight="1" x14ac:dyDescent="0.2">
      <c r="B6" s="122" t="s">
        <v>2</v>
      </c>
      <c r="C6" s="121" t="s">
        <v>17</v>
      </c>
      <c r="D6" s="121" t="s">
        <v>18</v>
      </c>
      <c r="E6" s="121" t="s">
        <v>19</v>
      </c>
      <c r="F6" s="121"/>
      <c r="G6" s="121"/>
      <c r="H6" s="121" t="s">
        <v>20</v>
      </c>
    </row>
    <row r="7" spans="2:17" ht="87" customHeight="1" x14ac:dyDescent="0.2">
      <c r="B7" s="123"/>
      <c r="C7" s="121"/>
      <c r="D7" s="121"/>
      <c r="E7" s="4" t="s">
        <v>22</v>
      </c>
      <c r="F7" s="127" t="s">
        <v>23</v>
      </c>
      <c r="G7" s="128"/>
      <c r="H7" s="121"/>
    </row>
    <row r="8" spans="2:17" x14ac:dyDescent="0.2">
      <c r="B8" s="5">
        <v>1</v>
      </c>
      <c r="C8" s="5">
        <v>2</v>
      </c>
      <c r="D8" s="5">
        <v>3</v>
      </c>
      <c r="E8" s="5">
        <v>4</v>
      </c>
      <c r="F8" s="124">
        <v>5</v>
      </c>
      <c r="G8" s="125"/>
      <c r="H8" s="5">
        <v>6</v>
      </c>
    </row>
    <row r="9" spans="2:17" ht="31.5" x14ac:dyDescent="0.25">
      <c r="B9" s="6">
        <v>1</v>
      </c>
      <c r="C9" s="6" t="s">
        <v>24</v>
      </c>
      <c r="D9" s="6">
        <v>169.8</v>
      </c>
      <c r="E9" s="7">
        <v>746232</v>
      </c>
      <c r="F9" s="126">
        <f>E9*0.8</f>
        <v>596985.59999999998</v>
      </c>
      <c r="G9" s="125"/>
      <c r="H9" s="8">
        <f>SUM(E9:G9)/D9/60</f>
        <v>131.84310954063605</v>
      </c>
    </row>
    <row r="10" spans="2:17" ht="37.5" customHeight="1" x14ac:dyDescent="0.2">
      <c r="B10" s="9"/>
      <c r="C10" s="9"/>
      <c r="D10" s="9"/>
      <c r="E10" s="9"/>
      <c r="F10" s="9"/>
      <c r="G10" s="9"/>
      <c r="H10" s="9"/>
    </row>
    <row r="11" spans="2:17" ht="52.5" customHeight="1" x14ac:dyDescent="0.2"/>
    <row r="12" spans="2:17" ht="15.75" x14ac:dyDescent="0.2">
      <c r="C12" s="117"/>
      <c r="D12" s="117"/>
      <c r="E12" s="117"/>
      <c r="F12" s="117"/>
      <c r="G12" s="117"/>
    </row>
    <row r="13" spans="2:17" ht="15.75" customHeight="1" x14ac:dyDescent="0.2">
      <c r="C13" s="1"/>
    </row>
    <row r="14" spans="2:17" ht="31.5" customHeight="1" x14ac:dyDescent="0.2">
      <c r="C14" s="117"/>
      <c r="D14" s="117"/>
      <c r="E14" s="117"/>
      <c r="F14" s="117"/>
      <c r="G14" s="117"/>
    </row>
    <row r="15" spans="2:17" ht="15.75" x14ac:dyDescent="0.25">
      <c r="B15" s="120" t="s">
        <v>26</v>
      </c>
      <c r="C15" s="120"/>
      <c r="D15" s="120"/>
      <c r="E15" s="120"/>
      <c r="F15" s="120"/>
      <c r="G15" s="120"/>
      <c r="H15" s="120"/>
    </row>
    <row r="16" spans="2:17" ht="15.75" x14ac:dyDescent="0.25">
      <c r="B16" s="114" t="s">
        <v>14</v>
      </c>
      <c r="C16" s="114"/>
      <c r="D16" s="114"/>
      <c r="E16" s="114"/>
      <c r="F16" s="114"/>
      <c r="G16" s="114"/>
      <c r="H16" s="114"/>
    </row>
    <row r="17" spans="2:8" ht="15.75" x14ac:dyDescent="0.25">
      <c r="B17" s="114" t="s">
        <v>28</v>
      </c>
      <c r="C17" s="114"/>
      <c r="D17" s="114"/>
      <c r="E17" s="114"/>
      <c r="F17" s="114"/>
      <c r="G17" s="114"/>
      <c r="H17" s="114"/>
    </row>
    <row r="18" spans="2:8" ht="15.75" customHeight="1" x14ac:dyDescent="0.25">
      <c r="B18" s="114" t="s">
        <v>29</v>
      </c>
      <c r="C18" s="114"/>
      <c r="D18" s="114"/>
      <c r="E18" s="114"/>
      <c r="F18" s="114"/>
      <c r="G18" s="114"/>
      <c r="H18" s="118"/>
    </row>
    <row r="19" spans="2:8" x14ac:dyDescent="0.2">
      <c r="B19" s="119" t="s">
        <v>16</v>
      </c>
      <c r="C19" s="119"/>
      <c r="D19" s="119"/>
      <c r="E19" s="119"/>
      <c r="F19" s="119"/>
      <c r="G19" s="119"/>
      <c r="H19" s="119"/>
    </row>
    <row r="20" spans="2:8" ht="15.75" customHeight="1" x14ac:dyDescent="0.25">
      <c r="B20" s="3"/>
    </row>
    <row r="21" spans="2:8" ht="93" customHeight="1" x14ac:dyDescent="0.2">
      <c r="B21" s="4" t="s">
        <v>2</v>
      </c>
      <c r="C21" s="4" t="s">
        <v>21</v>
      </c>
      <c r="D21" s="4" t="s">
        <v>31</v>
      </c>
      <c r="E21" s="4" t="s">
        <v>17</v>
      </c>
      <c r="F21" s="4" t="s">
        <v>32</v>
      </c>
      <c r="G21" s="4" t="s">
        <v>33</v>
      </c>
    </row>
    <row r="22" spans="2:8" x14ac:dyDescent="0.2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</row>
    <row r="23" spans="2:8" ht="34.5" customHeight="1" x14ac:dyDescent="0.25">
      <c r="B23" s="6">
        <v>1</v>
      </c>
      <c r="C23" s="6" t="s">
        <v>13</v>
      </c>
      <c r="D23" s="6">
        <v>8</v>
      </c>
      <c r="E23" s="6" t="s">
        <v>35</v>
      </c>
      <c r="F23" s="7">
        <f>H9</f>
        <v>131.84310954063605</v>
      </c>
      <c r="G23" s="12">
        <f>F23*D23</f>
        <v>1054.7448763250884</v>
      </c>
    </row>
    <row r="24" spans="2:8" ht="31.5" customHeight="1" x14ac:dyDescent="0.2"/>
    <row r="26" spans="2:8" ht="15.75" x14ac:dyDescent="0.2">
      <c r="C26" s="117"/>
      <c r="D26" s="117"/>
      <c r="E26" s="117"/>
      <c r="F26" s="117"/>
      <c r="G26" s="117"/>
    </row>
    <row r="27" spans="2:8" ht="15.75" x14ac:dyDescent="0.2">
      <c r="C27" s="1"/>
    </row>
    <row r="28" spans="2:8" ht="15.75" x14ac:dyDescent="0.2">
      <c r="C28" s="117"/>
      <c r="D28" s="117"/>
      <c r="E28" s="117"/>
      <c r="F28" s="117"/>
      <c r="G28" s="117"/>
    </row>
    <row r="36" ht="15.75" customHeight="1" x14ac:dyDescent="0.2"/>
    <row r="37" ht="15.75" customHeight="1" x14ac:dyDescent="0.2"/>
    <row r="38" ht="15.75" customHeight="1" x14ac:dyDescent="0.2"/>
  </sheetData>
  <mergeCells count="21">
    <mergeCell ref="B15:H15"/>
    <mergeCell ref="B3:H3"/>
    <mergeCell ref="B4:H4"/>
    <mergeCell ref="B1:H1"/>
    <mergeCell ref="B2:H2"/>
    <mergeCell ref="E6:G6"/>
    <mergeCell ref="H6:H7"/>
    <mergeCell ref="B6:B7"/>
    <mergeCell ref="C6:C7"/>
    <mergeCell ref="D6:D7"/>
    <mergeCell ref="F8:G8"/>
    <mergeCell ref="F9:G9"/>
    <mergeCell ref="C12:G12"/>
    <mergeCell ref="F7:G7"/>
    <mergeCell ref="C14:G14"/>
    <mergeCell ref="B16:H16"/>
    <mergeCell ref="B17:H17"/>
    <mergeCell ref="C26:G26"/>
    <mergeCell ref="C28:G28"/>
    <mergeCell ref="B18:H18"/>
    <mergeCell ref="B19:H19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C43"/>
  <sheetViews>
    <sheetView topLeftCell="A10" zoomScale="65" zoomScaleNormal="65" workbookViewId="0">
      <selection activeCell="H35" sqref="H35"/>
    </sheetView>
  </sheetViews>
  <sheetFormatPr defaultColWidth="9.140625" defaultRowHeight="15" x14ac:dyDescent="0.2"/>
  <cols>
    <col min="1" max="1" width="33" style="26" customWidth="1"/>
    <col min="2" max="2" width="22.140625" style="26" customWidth="1"/>
    <col min="3" max="3" width="8.140625" style="26" customWidth="1"/>
    <col min="4" max="4" width="6.42578125" style="26" customWidth="1"/>
    <col min="5" max="5" width="6.28515625" style="26" customWidth="1"/>
    <col min="6" max="6" width="8" style="26" customWidth="1"/>
    <col min="7" max="7" width="14.28515625" style="26" customWidth="1"/>
    <col min="8" max="8" width="6.42578125" style="26" customWidth="1"/>
    <col min="9" max="9" width="14.85546875" style="26" customWidth="1"/>
    <col min="10" max="10" width="12.85546875" style="26" customWidth="1"/>
    <col min="11" max="11" width="6.42578125" style="26" customWidth="1"/>
    <col min="12" max="12" width="12.85546875" style="26" customWidth="1"/>
    <col min="13" max="13" width="12" style="26" customWidth="1"/>
    <col min="14" max="14" width="13" style="26" customWidth="1"/>
    <col min="15" max="15" width="14.140625" style="26" customWidth="1"/>
    <col min="16" max="16" width="10.140625" style="26" hidden="1" customWidth="1"/>
    <col min="17" max="17" width="13" style="26" customWidth="1"/>
    <col min="18" max="18" width="7" style="26" customWidth="1"/>
    <col min="19" max="19" width="14.85546875" style="26" customWidth="1"/>
    <col min="20" max="20" width="12.5703125" style="26" customWidth="1"/>
    <col min="21" max="21" width="9.85546875" style="26" hidden="1" customWidth="1"/>
    <col min="22" max="22" width="10.7109375" style="26" customWidth="1"/>
    <col min="23" max="23" width="10.140625" style="26" customWidth="1"/>
    <col min="24" max="24" width="17.28515625" style="26" customWidth="1"/>
    <col min="25" max="25" width="12.85546875" style="30" customWidth="1"/>
    <col min="26" max="26" width="13.85546875" style="26" customWidth="1"/>
    <col min="27" max="27" width="10.28515625" style="26" customWidth="1"/>
    <col min="28" max="28" width="10.85546875" style="26" customWidth="1"/>
    <col min="29" max="29" width="9.140625" style="26"/>
    <col min="30" max="16384" width="9.140625" style="33"/>
  </cols>
  <sheetData>
    <row r="2" spans="1:29" ht="15.75" x14ac:dyDescent="0.25">
      <c r="A2" s="25"/>
      <c r="B2" s="25"/>
      <c r="C2" s="25"/>
      <c r="D2" s="25"/>
      <c r="E2" s="25"/>
      <c r="F2" s="25"/>
      <c r="I2" s="26" t="s">
        <v>74</v>
      </c>
      <c r="J2" s="27"/>
      <c r="K2" s="27"/>
      <c r="L2" s="27"/>
      <c r="M2" s="27"/>
      <c r="N2" s="27"/>
      <c r="O2" s="28"/>
      <c r="P2" s="28"/>
      <c r="Q2" s="28"/>
      <c r="R2" s="28"/>
      <c r="S2" s="28"/>
      <c r="T2" s="25" t="s">
        <v>75</v>
      </c>
      <c r="U2" s="28"/>
      <c r="V2" s="25"/>
      <c r="W2" s="28"/>
      <c r="X2" s="29"/>
      <c r="Z2" s="31">
        <v>33</v>
      </c>
      <c r="AA2" s="32" t="s">
        <v>76</v>
      </c>
    </row>
    <row r="3" spans="1:29" ht="15.75" x14ac:dyDescent="0.25">
      <c r="A3" s="25"/>
      <c r="B3" s="25"/>
      <c r="C3" s="25"/>
      <c r="D3" s="25"/>
      <c r="E3" s="25"/>
      <c r="F3" s="25"/>
      <c r="I3" s="25"/>
      <c r="J3" s="34"/>
      <c r="K3" s="27"/>
      <c r="L3" s="27"/>
      <c r="M3" s="27"/>
      <c r="N3" s="27"/>
      <c r="O3" s="28"/>
      <c r="P3" s="28"/>
      <c r="Q3" s="35"/>
      <c r="R3" s="28"/>
      <c r="S3" s="28"/>
      <c r="T3" s="25" t="s">
        <v>77</v>
      </c>
      <c r="U3" s="28"/>
      <c r="V3" s="25"/>
      <c r="W3" s="36"/>
      <c r="X3" s="29"/>
      <c r="Z3" s="37"/>
      <c r="AA3" s="32" t="s">
        <v>78</v>
      </c>
    </row>
    <row r="4" spans="1:29" ht="15.75" x14ac:dyDescent="0.25">
      <c r="A4" s="25"/>
      <c r="B4" s="25"/>
      <c r="C4" s="25"/>
      <c r="D4" s="25"/>
      <c r="E4" s="25"/>
      <c r="F4" s="25"/>
      <c r="I4" s="25"/>
      <c r="J4" s="34"/>
      <c r="K4" s="27"/>
      <c r="L4" s="27"/>
      <c r="M4" s="27"/>
      <c r="N4" s="27"/>
      <c r="O4" s="28"/>
      <c r="P4" s="28"/>
      <c r="Q4" s="35"/>
      <c r="R4" s="28"/>
      <c r="S4" s="28"/>
      <c r="T4" s="25" t="s">
        <v>79</v>
      </c>
      <c r="U4" s="28"/>
      <c r="V4" s="25"/>
      <c r="W4" s="38"/>
      <c r="X4" s="29"/>
      <c r="Z4" s="39">
        <v>0.2</v>
      </c>
      <c r="AA4" s="32" t="s">
        <v>80</v>
      </c>
    </row>
    <row r="5" spans="1:29" ht="15.75" x14ac:dyDescent="0.25">
      <c r="B5" s="36"/>
      <c r="C5" s="36"/>
      <c r="D5" s="36"/>
      <c r="E5" s="36"/>
      <c r="F5" s="36"/>
      <c r="I5" s="25"/>
      <c r="J5" s="34"/>
      <c r="K5" s="27"/>
      <c r="L5" s="27"/>
      <c r="M5" s="27"/>
      <c r="N5" s="27"/>
      <c r="O5" s="28"/>
      <c r="P5" s="28"/>
      <c r="Q5" s="35"/>
      <c r="R5" s="38"/>
      <c r="S5" s="38"/>
      <c r="T5" s="26" t="s">
        <v>81</v>
      </c>
      <c r="U5" s="38"/>
      <c r="X5" s="29"/>
    </row>
    <row r="6" spans="1:29" ht="15.75" x14ac:dyDescent="0.25">
      <c r="A6" s="133"/>
      <c r="B6" s="133"/>
      <c r="C6" s="133"/>
      <c r="D6" s="133"/>
      <c r="E6" s="133"/>
      <c r="F6" s="133"/>
      <c r="G6" s="29"/>
      <c r="I6" s="29"/>
      <c r="J6" s="29"/>
      <c r="K6" s="38"/>
      <c r="L6" s="38"/>
      <c r="M6" s="38"/>
      <c r="N6" s="38"/>
      <c r="O6" s="28"/>
      <c r="P6" s="28"/>
      <c r="Q6" s="28"/>
      <c r="S6" s="28"/>
      <c r="T6" s="28"/>
    </row>
    <row r="7" spans="1:29" ht="15.75" x14ac:dyDescent="0.25">
      <c r="A7" s="134" t="s">
        <v>82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9" x14ac:dyDescent="0.2">
      <c r="A8" s="135" t="s">
        <v>83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9" x14ac:dyDescent="0.2">
      <c r="A9" s="135" t="s">
        <v>84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spans="1:29" x14ac:dyDescent="0.2">
      <c r="A10" s="135" t="s">
        <v>159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9" x14ac:dyDescent="0.2">
      <c r="A11" s="135" t="s">
        <v>160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9" ht="15.75" thickBot="1" x14ac:dyDescent="0.2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40"/>
    </row>
    <row r="13" spans="1:29" ht="178.5" customHeight="1" x14ac:dyDescent="0.2">
      <c r="A13" s="41" t="s">
        <v>85</v>
      </c>
      <c r="B13" s="41" t="s">
        <v>86</v>
      </c>
      <c r="C13" s="42" t="s">
        <v>87</v>
      </c>
      <c r="D13" s="42" t="s">
        <v>88</v>
      </c>
      <c r="E13" s="42" t="s">
        <v>89</v>
      </c>
      <c r="F13" s="42" t="s">
        <v>90</v>
      </c>
      <c r="G13" s="42" t="s">
        <v>91</v>
      </c>
      <c r="H13" s="42" t="s">
        <v>92</v>
      </c>
      <c r="I13" s="42" t="s">
        <v>93</v>
      </c>
      <c r="J13" s="42" t="s">
        <v>94</v>
      </c>
      <c r="K13" s="42" t="s">
        <v>95</v>
      </c>
      <c r="L13" s="42" t="s">
        <v>96</v>
      </c>
      <c r="M13" s="42" t="s">
        <v>94</v>
      </c>
      <c r="N13" s="42" t="s">
        <v>97</v>
      </c>
      <c r="O13" s="42" t="s">
        <v>98</v>
      </c>
      <c r="P13" s="42" t="s">
        <v>99</v>
      </c>
      <c r="Q13" s="42" t="s">
        <v>100</v>
      </c>
      <c r="R13" s="42" t="s">
        <v>101</v>
      </c>
      <c r="S13" s="42" t="s">
        <v>102</v>
      </c>
      <c r="T13" s="42" t="s">
        <v>103</v>
      </c>
      <c r="U13" s="42" t="s">
        <v>104</v>
      </c>
      <c r="V13" s="42" t="s">
        <v>105</v>
      </c>
      <c r="W13" s="42" t="s">
        <v>106</v>
      </c>
      <c r="X13" s="43" t="s">
        <v>107</v>
      </c>
    </row>
    <row r="14" spans="1:29" ht="15.75" customHeight="1" x14ac:dyDescent="0.25">
      <c r="A14" s="130" t="s">
        <v>108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2"/>
      <c r="Y14" s="66"/>
      <c r="Z14" s="67"/>
    </row>
    <row r="15" spans="1:29" s="56" customFormat="1" ht="15.75" x14ac:dyDescent="0.25">
      <c r="A15" s="44" t="s">
        <v>109</v>
      </c>
      <c r="B15" s="44" t="s">
        <v>110</v>
      </c>
      <c r="C15" s="45">
        <v>1</v>
      </c>
      <c r="D15" s="45">
        <v>16</v>
      </c>
      <c r="E15" s="69">
        <v>3.72</v>
      </c>
      <c r="F15" s="46">
        <f>IF(D15=1,3.5,IF(D15=2,3.066,IF(D15=3,2.66,IF(D15=4,2.321,IF(D15=5,2.148,IF(D15=6,1.988,IF(D15=7,1.888,IF(D15=8,1.798,))))))))+IF(D15=9,1.708,IF(D15=10,1.626,IF(D15=11,1.538,IF(D15=12,1.456,IF(D15=13,1.377,IF(D15=14,1.309,IF(D15=15,1.248,IF(D15=16,1.208,))))))))+IF(D15=17,1.169,IF(D15=18,1.129,IF(D15=19,1.099,IF(D15=20,1.06,IF(D15=21,1.03,IF(D15=22,1))))))</f>
        <v>1.208</v>
      </c>
      <c r="G15" s="47">
        <f>ROUND((C15*E15*F15*$Z$2),0)</f>
        <v>148</v>
      </c>
      <c r="H15" s="48">
        <v>0.5</v>
      </c>
      <c r="I15" s="49">
        <f>ROUND((G15*H15),0)</f>
        <v>74</v>
      </c>
      <c r="J15" s="47">
        <f>G15*0.25</f>
        <v>37</v>
      </c>
      <c r="K15" s="48">
        <v>0.3</v>
      </c>
      <c r="L15" s="49">
        <f>ROUND((G15*K15),0)</f>
        <v>44</v>
      </c>
      <c r="M15" s="50">
        <f>G15*20%</f>
        <v>29.6</v>
      </c>
      <c r="N15" s="49">
        <f>ROUND((G15*$Z$4),0)</f>
        <v>30</v>
      </c>
      <c r="O15" s="47">
        <f>G15+I15+L15+N15+J15+M15</f>
        <v>362.6</v>
      </c>
      <c r="P15" s="45"/>
      <c r="Q15" s="50"/>
      <c r="R15" s="51">
        <v>0.5</v>
      </c>
      <c r="S15" s="49">
        <f>ROUND((O15*R15),0)</f>
        <v>181</v>
      </c>
      <c r="T15" s="49">
        <f>ROUND((0.2*G15),0)</f>
        <v>30</v>
      </c>
      <c r="U15" s="45"/>
      <c r="V15" s="45"/>
      <c r="W15" s="45"/>
      <c r="X15" s="52">
        <f t="shared" ref="X15:X41" si="0">SUM(O15:Q15,S15:W15)</f>
        <v>573.6</v>
      </c>
      <c r="Y15" s="53">
        <f>0.2*(X15-T15)</f>
        <v>108.72000000000001</v>
      </c>
      <c r="Z15" s="54">
        <f>X15+Y15</f>
        <v>682.32</v>
      </c>
      <c r="AA15" s="55"/>
      <c r="AB15" s="55"/>
      <c r="AC15" s="55"/>
    </row>
    <row r="16" spans="1:29" s="56" customFormat="1" ht="15.75" x14ac:dyDescent="0.25">
      <c r="A16" s="44" t="s">
        <v>111</v>
      </c>
      <c r="B16" s="44"/>
      <c r="C16" s="45">
        <v>1</v>
      </c>
      <c r="D16" s="45">
        <v>14</v>
      </c>
      <c r="E16" s="69">
        <v>3.25</v>
      </c>
      <c r="F16" s="46">
        <f t="shared" ref="F16:F23" si="1">IF(D16=1,3.5,IF(D16=2,3.066,IF(D16=3,2.66,IF(D16=4,2.321,IF(D16=5,2.148,IF(D16=6,1.988,IF(D16=7,1.888,IF(D16=8,1.798,))))))))+IF(D16=9,1.708,IF(D16=10,1.626,IF(D16=11,1.538,IF(D16=12,1.456,IF(D16=13,1.377,IF(D16=14,1.309,IF(D16=15,1.248,IF(D16=16,1.208,))))))))+IF(D16=17,1.169,IF(D16=18,1.129,IF(D16=19,1.099,IF(D16=20,1.06,IF(D16=21,1.03,IF(D16=22,1))))))</f>
        <v>1.3089999999999999</v>
      </c>
      <c r="G16" s="47">
        <f>ROUND((C16*E16*F16*$Z$2),0)</f>
        <v>140</v>
      </c>
      <c r="H16" s="48"/>
      <c r="I16" s="49">
        <f>ROUND((G16*H16),0)</f>
        <v>0</v>
      </c>
      <c r="J16" s="47">
        <f>G16*0.25</f>
        <v>35</v>
      </c>
      <c r="K16" s="48"/>
      <c r="L16" s="49">
        <f>ROUND((G16*K16),0)</f>
        <v>0</v>
      </c>
      <c r="M16" s="45"/>
      <c r="N16" s="49">
        <f>ROUND((G16*$Z$4),0)</f>
        <v>28</v>
      </c>
      <c r="O16" s="47">
        <f t="shared" ref="O16:O22" si="2">G16+I16+L16+N16+J16</f>
        <v>203</v>
      </c>
      <c r="P16" s="45"/>
      <c r="Q16" s="50"/>
      <c r="R16" s="51"/>
      <c r="S16" s="49">
        <f>ROUND((O16*R16),0)</f>
        <v>0</v>
      </c>
      <c r="T16" s="49"/>
      <c r="U16" s="45"/>
      <c r="V16" s="45"/>
      <c r="W16" s="45"/>
      <c r="X16" s="52">
        <f t="shared" si="0"/>
        <v>203</v>
      </c>
      <c r="Y16" s="53">
        <f>X16*0.2</f>
        <v>40.6</v>
      </c>
      <c r="Z16" s="54">
        <f>X16+Y16</f>
        <v>243.6</v>
      </c>
      <c r="AA16" s="55"/>
      <c r="AB16" s="55"/>
      <c r="AC16" s="55"/>
    </row>
    <row r="17" spans="1:29" s="56" customFormat="1" ht="15.75" x14ac:dyDescent="0.25">
      <c r="A17" s="44" t="s">
        <v>112</v>
      </c>
      <c r="B17" s="44" t="s">
        <v>113</v>
      </c>
      <c r="C17" s="45">
        <v>1</v>
      </c>
      <c r="D17" s="45">
        <v>13</v>
      </c>
      <c r="E17" s="69">
        <v>3.04</v>
      </c>
      <c r="F17" s="46">
        <f t="shared" si="1"/>
        <v>1.377</v>
      </c>
      <c r="G17" s="47">
        <f>ROUND((C17*E17*F17*$Z$2),0)</f>
        <v>138</v>
      </c>
      <c r="H17" s="48">
        <v>0.5</v>
      </c>
      <c r="I17" s="49">
        <f>ROUND((G17*H17),0)</f>
        <v>69</v>
      </c>
      <c r="J17" s="47"/>
      <c r="K17" s="48">
        <v>0.3</v>
      </c>
      <c r="L17" s="49">
        <f>ROUND((G17*K17),0)</f>
        <v>41</v>
      </c>
      <c r="M17" s="50">
        <f>ROUND((0.15*G17),0)</f>
        <v>21</v>
      </c>
      <c r="N17" s="49">
        <f>ROUND((G17*$Z$4),0)</f>
        <v>28</v>
      </c>
      <c r="O17" s="47">
        <f t="shared" si="2"/>
        <v>276</v>
      </c>
      <c r="P17" s="45"/>
      <c r="Q17" s="50"/>
      <c r="R17" s="51">
        <v>0.5</v>
      </c>
      <c r="S17" s="49">
        <f>ROUND((O17*R17),0)</f>
        <v>138</v>
      </c>
      <c r="T17" s="49">
        <f>ROUND((30%*G17),0)</f>
        <v>41</v>
      </c>
      <c r="U17" s="45"/>
      <c r="V17" s="50"/>
      <c r="W17" s="45"/>
      <c r="X17" s="52">
        <f t="shared" si="0"/>
        <v>455</v>
      </c>
      <c r="Y17" s="53">
        <f t="shared" ref="Y17:Y23" si="3">0.2*(X17-T17)</f>
        <v>82.800000000000011</v>
      </c>
      <c r="Z17" s="54">
        <f>X17+Y17</f>
        <v>537.79999999999995</v>
      </c>
      <c r="AA17" s="55"/>
      <c r="AB17" s="55"/>
      <c r="AC17" s="55"/>
    </row>
    <row r="18" spans="1:29" ht="15.75" x14ac:dyDescent="0.25">
      <c r="A18" s="63" t="s">
        <v>114</v>
      </c>
      <c r="B18" s="63" t="s">
        <v>137</v>
      </c>
      <c r="C18" s="32">
        <v>0.5</v>
      </c>
      <c r="D18" s="32">
        <v>16</v>
      </c>
      <c r="E18" s="70">
        <v>3.72</v>
      </c>
      <c r="F18" s="46">
        <f t="shared" si="1"/>
        <v>1.208</v>
      </c>
      <c r="G18" s="57">
        <f t="shared" ref="G18:G41" si="4">ROUND((C18*E18*F18*$Z$2),0)</f>
        <v>74</v>
      </c>
      <c r="H18" s="58">
        <v>0.5</v>
      </c>
      <c r="I18" s="59">
        <f t="shared" ref="I18:I41" si="5">ROUND((G18*H18),0)</f>
        <v>37</v>
      </c>
      <c r="J18" s="57">
        <f>G18*0.25</f>
        <v>18.5</v>
      </c>
      <c r="K18" s="58">
        <v>0.3</v>
      </c>
      <c r="L18" s="59">
        <f t="shared" ref="L18:L41" si="6">ROUND((G18*K18),0)</f>
        <v>22</v>
      </c>
      <c r="M18" s="32"/>
      <c r="N18" s="59">
        <f t="shared" ref="N18:N30" si="7">ROUND((G18*$Z$4),0)</f>
        <v>15</v>
      </c>
      <c r="O18" s="57">
        <f t="shared" si="2"/>
        <v>166.5</v>
      </c>
      <c r="P18" s="32"/>
      <c r="Q18" s="50"/>
      <c r="R18" s="60">
        <v>0.5</v>
      </c>
      <c r="S18" s="59">
        <f t="shared" ref="S18:S30" si="8">ROUND((O18*R18),0)</f>
        <v>83</v>
      </c>
      <c r="T18" s="59">
        <f>ROUND((20%*G18),0)</f>
        <v>15</v>
      </c>
      <c r="U18" s="59"/>
      <c r="V18" s="32"/>
      <c r="W18" s="32"/>
      <c r="X18" s="61">
        <f t="shared" si="0"/>
        <v>264.5</v>
      </c>
      <c r="Y18" s="30">
        <f t="shared" si="3"/>
        <v>49.900000000000006</v>
      </c>
      <c r="Z18" s="62">
        <f t="shared" ref="Z18:Z41" si="9">X18+Y18</f>
        <v>314.39999999999998</v>
      </c>
    </row>
    <row r="19" spans="1:29" ht="15.75" x14ac:dyDescent="0.25">
      <c r="A19" s="63" t="s">
        <v>114</v>
      </c>
      <c r="B19" s="63"/>
      <c r="C19" s="32">
        <v>0.5</v>
      </c>
      <c r="D19" s="32">
        <v>16</v>
      </c>
      <c r="E19" s="70">
        <v>3.72</v>
      </c>
      <c r="F19" s="46">
        <f t="shared" si="1"/>
        <v>1.208</v>
      </c>
      <c r="G19" s="57">
        <f t="shared" si="4"/>
        <v>74</v>
      </c>
      <c r="H19" s="58"/>
      <c r="I19" s="59"/>
      <c r="J19" s="57"/>
      <c r="K19" s="58"/>
      <c r="L19" s="59"/>
      <c r="M19" s="32"/>
      <c r="N19" s="59"/>
      <c r="O19" s="57"/>
      <c r="P19" s="32"/>
      <c r="Q19" s="50"/>
      <c r="R19" s="60"/>
      <c r="S19" s="59"/>
      <c r="T19" s="59"/>
      <c r="U19" s="59"/>
      <c r="V19" s="32"/>
      <c r="W19" s="32"/>
      <c r="X19" s="61"/>
      <c r="Z19" s="62"/>
    </row>
    <row r="20" spans="1:29" ht="15.75" x14ac:dyDescent="0.25">
      <c r="A20" s="63" t="s">
        <v>115</v>
      </c>
      <c r="B20" s="63" t="s">
        <v>151</v>
      </c>
      <c r="C20" s="32">
        <v>0.5</v>
      </c>
      <c r="D20" s="32">
        <v>15</v>
      </c>
      <c r="E20" s="70">
        <v>3.48</v>
      </c>
      <c r="F20" s="46">
        <f t="shared" si="1"/>
        <v>1.248</v>
      </c>
      <c r="G20" s="57">
        <f>ROUND((C20*E20*F20*$Z$2),0)</f>
        <v>72</v>
      </c>
      <c r="H20" s="58">
        <v>0.5</v>
      </c>
      <c r="I20" s="59">
        <f>ROUND((G20*H20),0)</f>
        <v>36</v>
      </c>
      <c r="J20" s="57">
        <f>G20*0.25</f>
        <v>18</v>
      </c>
      <c r="K20" s="68">
        <v>0.3</v>
      </c>
      <c r="L20" s="59">
        <f>ROUND((G20*K20),0)</f>
        <v>22</v>
      </c>
      <c r="M20" s="32"/>
      <c r="N20" s="59">
        <f>ROUND((G20*$Z$4),0)</f>
        <v>14</v>
      </c>
      <c r="O20" s="57">
        <f t="shared" si="2"/>
        <v>162</v>
      </c>
      <c r="P20" s="32"/>
      <c r="Q20" s="50"/>
      <c r="R20" s="60">
        <v>0.4</v>
      </c>
      <c r="S20" s="59">
        <f>ROUND((O20*R20),0)</f>
        <v>65</v>
      </c>
      <c r="T20" s="59">
        <f>ROUND((20%*G20),0)</f>
        <v>14</v>
      </c>
      <c r="U20" s="32"/>
      <c r="V20" s="32"/>
      <c r="W20" s="32"/>
      <c r="X20" s="61">
        <f>SUM(O20:Q20,S20:W20)</f>
        <v>241</v>
      </c>
      <c r="Y20" s="30">
        <f t="shared" si="3"/>
        <v>45.400000000000006</v>
      </c>
      <c r="Z20" s="62">
        <f>X20+Y20</f>
        <v>286.39999999999998</v>
      </c>
    </row>
    <row r="21" spans="1:29" ht="15.75" x14ac:dyDescent="0.25">
      <c r="A21" s="63" t="s">
        <v>115</v>
      </c>
      <c r="B21" s="63" t="s">
        <v>116</v>
      </c>
      <c r="C21" s="32">
        <v>0.5</v>
      </c>
      <c r="D21" s="32">
        <v>15</v>
      </c>
      <c r="E21" s="70">
        <v>3.48</v>
      </c>
      <c r="F21" s="46">
        <f t="shared" si="1"/>
        <v>1.248</v>
      </c>
      <c r="G21" s="57">
        <f>ROUND((C21*E21*F21*$Z$2),0)</f>
        <v>72</v>
      </c>
      <c r="H21" s="58">
        <v>0.5</v>
      </c>
      <c r="I21" s="59">
        <f>ROUND((G21*H21),0)</f>
        <v>36</v>
      </c>
      <c r="J21" s="57">
        <f>G21*0.25</f>
        <v>18</v>
      </c>
      <c r="K21" s="68">
        <v>0.3</v>
      </c>
      <c r="L21" s="59">
        <f>ROUND((G21*K21),0)</f>
        <v>22</v>
      </c>
      <c r="M21" s="32"/>
      <c r="N21" s="59">
        <f>ROUND((G21*$Z$4),0)</f>
        <v>14</v>
      </c>
      <c r="O21" s="57">
        <f t="shared" si="2"/>
        <v>162</v>
      </c>
      <c r="P21" s="32"/>
      <c r="Q21" s="50"/>
      <c r="R21" s="60">
        <v>0.5</v>
      </c>
      <c r="S21" s="59">
        <f>ROUND((O21*R21),0)</f>
        <v>81</v>
      </c>
      <c r="T21" s="59">
        <f>ROUND((20%*G21),0)</f>
        <v>14</v>
      </c>
      <c r="U21" s="32"/>
      <c r="V21" s="32"/>
      <c r="W21" s="32"/>
      <c r="X21" s="61">
        <f t="shared" si="0"/>
        <v>257</v>
      </c>
      <c r="Y21" s="30">
        <f t="shared" si="3"/>
        <v>48.6</v>
      </c>
      <c r="Z21" s="62">
        <f t="shared" si="9"/>
        <v>305.60000000000002</v>
      </c>
    </row>
    <row r="22" spans="1:29" ht="15.75" x14ac:dyDescent="0.25">
      <c r="A22" s="63" t="s">
        <v>117</v>
      </c>
      <c r="B22" s="63" t="s">
        <v>118</v>
      </c>
      <c r="C22" s="32">
        <v>0.5</v>
      </c>
      <c r="D22" s="32">
        <v>15</v>
      </c>
      <c r="E22" s="70">
        <v>3.48</v>
      </c>
      <c r="F22" s="46">
        <f t="shared" si="1"/>
        <v>1.248</v>
      </c>
      <c r="G22" s="57">
        <f>ROUND((C22*E22*F22*$Z$2),0)</f>
        <v>72</v>
      </c>
      <c r="H22" s="58">
        <v>0.5</v>
      </c>
      <c r="I22" s="59">
        <f>ROUND((G22*H22),0)</f>
        <v>36</v>
      </c>
      <c r="J22" s="57">
        <f>G22*0.25</f>
        <v>18</v>
      </c>
      <c r="K22" s="58">
        <v>0.3</v>
      </c>
      <c r="L22" s="59">
        <f>ROUND((G22*K22),0)</f>
        <v>22</v>
      </c>
      <c r="M22" s="32"/>
      <c r="N22" s="59">
        <f>ROUND((G22*$Z$4),0)</f>
        <v>14</v>
      </c>
      <c r="O22" s="57">
        <f t="shared" si="2"/>
        <v>162</v>
      </c>
      <c r="P22" s="32"/>
      <c r="Q22" s="50"/>
      <c r="R22" s="60">
        <v>0.5</v>
      </c>
      <c r="S22" s="59">
        <f>ROUND((O22*R22),0)</f>
        <v>81</v>
      </c>
      <c r="T22" s="59">
        <f>ROUND((20%*G22),0)</f>
        <v>14</v>
      </c>
      <c r="U22" s="32"/>
      <c r="V22" s="32"/>
      <c r="W22" s="32"/>
      <c r="X22" s="61">
        <f t="shared" si="0"/>
        <v>257</v>
      </c>
      <c r="Y22" s="30">
        <f t="shared" si="3"/>
        <v>48.6</v>
      </c>
      <c r="Z22" s="62">
        <f>X22+Y22</f>
        <v>305.60000000000002</v>
      </c>
    </row>
    <row r="23" spans="1:29" ht="15.75" x14ac:dyDescent="0.25">
      <c r="A23" s="63" t="s">
        <v>119</v>
      </c>
      <c r="B23" s="63" t="s">
        <v>120</v>
      </c>
      <c r="C23" s="32">
        <v>1</v>
      </c>
      <c r="D23" s="32">
        <v>11</v>
      </c>
      <c r="E23" s="70">
        <v>2.65</v>
      </c>
      <c r="F23" s="46">
        <f t="shared" si="1"/>
        <v>1.538</v>
      </c>
      <c r="G23" s="57">
        <f t="shared" si="4"/>
        <v>134</v>
      </c>
      <c r="H23" s="58">
        <v>0.5</v>
      </c>
      <c r="I23" s="59">
        <f t="shared" si="5"/>
        <v>67</v>
      </c>
      <c r="J23" s="57"/>
      <c r="K23" s="58">
        <v>0.3</v>
      </c>
      <c r="L23" s="59">
        <f t="shared" si="6"/>
        <v>40</v>
      </c>
      <c r="M23" s="32"/>
      <c r="N23" s="59">
        <f t="shared" si="7"/>
        <v>27</v>
      </c>
      <c r="O23" s="57">
        <f t="shared" ref="O23:O41" si="10">G23+I23+L23+N23</f>
        <v>268</v>
      </c>
      <c r="P23" s="32"/>
      <c r="Q23" s="50"/>
      <c r="R23" s="60">
        <v>0.5</v>
      </c>
      <c r="S23" s="59">
        <f t="shared" si="8"/>
        <v>134</v>
      </c>
      <c r="T23" s="59">
        <f>ROUND((15%*G23),0)</f>
        <v>20</v>
      </c>
      <c r="U23" s="32"/>
      <c r="V23" s="32"/>
      <c r="W23" s="32"/>
      <c r="X23" s="61">
        <f t="shared" si="0"/>
        <v>422</v>
      </c>
      <c r="Y23" s="30">
        <f t="shared" si="3"/>
        <v>80.400000000000006</v>
      </c>
      <c r="Z23" s="62">
        <f t="shared" si="9"/>
        <v>502.4</v>
      </c>
    </row>
    <row r="24" spans="1:29" ht="15.75" x14ac:dyDescent="0.25">
      <c r="A24" s="63" t="s">
        <v>121</v>
      </c>
      <c r="B24" s="63" t="s">
        <v>122</v>
      </c>
      <c r="C24" s="32">
        <v>1</v>
      </c>
      <c r="D24" s="32">
        <v>10</v>
      </c>
      <c r="E24" s="70">
        <v>2.48</v>
      </c>
      <c r="F24" s="46">
        <f>IF(D24=1,3.5,IF(D24=2,3.066,IF(D24=3,2.66,IF(D24=4,2.321,IF(D24=5,2.148,IF(D24=6,1.988,IF(D24=7,1.888,IF(D24=8,1.798,))))))))+IF(D24=9,1.708,IF(D24=10,1.626,IF(D24=11,1.538,IF(D24=12,1.456,IF(D24=13,1.377,IF(D24=14,1.309,IF(D24=15,1.248,IF(D24=16,1.208,))))))))+IF(D24=17,1.169,IF(D24=18,1.129,IF(D24=19,1.099,IF(D24=20,1.06,IF(D24=21,1.03,IF(D24=22,1))))))</f>
        <v>1.6259999999999999</v>
      </c>
      <c r="G24" s="57">
        <f t="shared" si="4"/>
        <v>133</v>
      </c>
      <c r="H24" s="58">
        <v>0.4</v>
      </c>
      <c r="I24" s="59">
        <f t="shared" si="5"/>
        <v>53</v>
      </c>
      <c r="J24" s="57"/>
      <c r="K24" s="58">
        <v>0.3</v>
      </c>
      <c r="L24" s="59">
        <f t="shared" si="6"/>
        <v>40</v>
      </c>
      <c r="M24" s="32"/>
      <c r="N24" s="59">
        <f t="shared" si="7"/>
        <v>27</v>
      </c>
      <c r="O24" s="57">
        <f t="shared" si="10"/>
        <v>253</v>
      </c>
      <c r="P24" s="32"/>
      <c r="Q24" s="50"/>
      <c r="R24" s="60">
        <v>0.4</v>
      </c>
      <c r="S24" s="59">
        <f t="shared" si="8"/>
        <v>101</v>
      </c>
      <c r="T24" s="59"/>
      <c r="U24" s="32"/>
      <c r="V24" s="32"/>
      <c r="W24" s="32"/>
      <c r="X24" s="61">
        <f t="shared" si="0"/>
        <v>354</v>
      </c>
      <c r="Y24" s="30">
        <f t="shared" ref="Y24:Y37" si="11">X24*0.2</f>
        <v>70.8</v>
      </c>
      <c r="Z24" s="62">
        <f t="shared" si="9"/>
        <v>424.8</v>
      </c>
    </row>
    <row r="25" spans="1:29" ht="15.75" x14ac:dyDescent="0.25">
      <c r="A25" s="63" t="s">
        <v>123</v>
      </c>
      <c r="B25" s="63" t="s">
        <v>124</v>
      </c>
      <c r="C25" s="32">
        <v>1</v>
      </c>
      <c r="D25" s="32">
        <v>10</v>
      </c>
      <c r="E25" s="70">
        <v>2.48</v>
      </c>
      <c r="F25" s="46">
        <f t="shared" ref="F25:F37" si="12">IF(D25=1,3.5,IF(D25=2,3.066,IF(D25=3,2.66,IF(D25=4,2.321,IF(D25=5,2.148,IF(D25=6,1.988,IF(D25=7,1.888,IF(D25=8,1.798,))))))))+IF(D25=9,1.708,IF(D25=10,1.626,IF(D25=11,1.538,IF(D25=12,1.456,IF(D25=13,1.377,IF(D25=14,1.309,IF(D25=15,1.248,IF(D25=16,1.208,))))))))+IF(D25=17,1.169,IF(D25=18,1.129,IF(D25=19,1.099,IF(D25=20,1.06,IF(D25=21,1.03,IF(D25=22,1))))))</f>
        <v>1.6259999999999999</v>
      </c>
      <c r="G25" s="57">
        <f t="shared" si="4"/>
        <v>133</v>
      </c>
      <c r="H25" s="58">
        <v>0.5</v>
      </c>
      <c r="I25" s="59">
        <f t="shared" si="5"/>
        <v>67</v>
      </c>
      <c r="J25" s="57"/>
      <c r="K25" s="58">
        <v>0.3</v>
      </c>
      <c r="L25" s="59">
        <f t="shared" si="6"/>
        <v>40</v>
      </c>
      <c r="M25" s="32"/>
      <c r="N25" s="59">
        <f t="shared" si="7"/>
        <v>27</v>
      </c>
      <c r="O25" s="57">
        <f t="shared" si="10"/>
        <v>267</v>
      </c>
      <c r="P25" s="32"/>
      <c r="Q25" s="50"/>
      <c r="R25" s="60">
        <v>0.4</v>
      </c>
      <c r="S25" s="59">
        <f t="shared" si="8"/>
        <v>107</v>
      </c>
      <c r="T25" s="59"/>
      <c r="U25" s="32"/>
      <c r="V25" s="32"/>
      <c r="W25" s="32"/>
      <c r="X25" s="61">
        <f t="shared" si="0"/>
        <v>374</v>
      </c>
      <c r="Y25" s="30">
        <f t="shared" si="11"/>
        <v>74.8</v>
      </c>
      <c r="Z25" s="62">
        <f t="shared" si="9"/>
        <v>448.8</v>
      </c>
    </row>
    <row r="26" spans="1:29" s="26" customFormat="1" ht="15.75" hidden="1" customHeight="1" x14ac:dyDescent="0.25">
      <c r="A26" s="63" t="s">
        <v>123</v>
      </c>
      <c r="B26" s="63" t="s">
        <v>152</v>
      </c>
      <c r="C26" s="32">
        <v>1</v>
      </c>
      <c r="D26" s="32">
        <v>13</v>
      </c>
      <c r="E26" s="70">
        <v>3.04</v>
      </c>
      <c r="F26" s="46">
        <f t="shared" si="12"/>
        <v>1.377</v>
      </c>
      <c r="G26" s="57">
        <f t="shared" si="4"/>
        <v>138</v>
      </c>
      <c r="H26" s="58"/>
      <c r="I26" s="59">
        <f t="shared" si="5"/>
        <v>0</v>
      </c>
      <c r="J26" s="57"/>
      <c r="K26" s="58"/>
      <c r="L26" s="59">
        <f t="shared" si="6"/>
        <v>0</v>
      </c>
      <c r="M26" s="32"/>
      <c r="N26" s="59">
        <f t="shared" si="7"/>
        <v>28</v>
      </c>
      <c r="O26" s="57">
        <f t="shared" si="10"/>
        <v>166</v>
      </c>
      <c r="P26" s="32"/>
      <c r="Q26" s="50"/>
      <c r="R26" s="60"/>
      <c r="S26" s="59">
        <f t="shared" si="8"/>
        <v>0</v>
      </c>
      <c r="T26" s="59"/>
      <c r="U26" s="32"/>
      <c r="V26" s="32"/>
      <c r="W26" s="32"/>
      <c r="X26" s="61">
        <f t="shared" si="0"/>
        <v>166</v>
      </c>
      <c r="Y26" s="30">
        <f>0.2*(X26-T26)</f>
        <v>33.200000000000003</v>
      </c>
      <c r="Z26" s="62">
        <f t="shared" si="9"/>
        <v>199.2</v>
      </c>
    </row>
    <row r="27" spans="1:29" ht="30.75" x14ac:dyDescent="0.25">
      <c r="A27" s="63" t="s">
        <v>125</v>
      </c>
      <c r="B27" s="63" t="s">
        <v>126</v>
      </c>
      <c r="C27" s="32">
        <v>0.5</v>
      </c>
      <c r="D27" s="32">
        <v>12</v>
      </c>
      <c r="E27" s="70">
        <v>2.84</v>
      </c>
      <c r="F27" s="46">
        <f t="shared" si="12"/>
        <v>1.456</v>
      </c>
      <c r="G27" s="57">
        <f t="shared" si="4"/>
        <v>68</v>
      </c>
      <c r="H27" s="58">
        <v>0.5</v>
      </c>
      <c r="I27" s="59">
        <f t="shared" si="5"/>
        <v>34</v>
      </c>
      <c r="J27" s="57"/>
      <c r="K27" s="58">
        <v>0.2</v>
      </c>
      <c r="L27" s="59">
        <f t="shared" si="6"/>
        <v>14</v>
      </c>
      <c r="M27" s="32"/>
      <c r="N27" s="59">
        <f t="shared" si="7"/>
        <v>14</v>
      </c>
      <c r="O27" s="57">
        <f t="shared" si="10"/>
        <v>130</v>
      </c>
      <c r="P27" s="32"/>
      <c r="Q27" s="50"/>
      <c r="R27" s="60">
        <v>0.5</v>
      </c>
      <c r="S27" s="59">
        <f t="shared" si="8"/>
        <v>65</v>
      </c>
      <c r="T27" s="59">
        <f>ROUND((20%*G27),0)</f>
        <v>14</v>
      </c>
      <c r="U27" s="32"/>
      <c r="V27" s="32"/>
      <c r="W27" s="32"/>
      <c r="X27" s="61">
        <f t="shared" si="0"/>
        <v>209</v>
      </c>
      <c r="Y27" s="30">
        <f>0.2*(X27-T27)</f>
        <v>39</v>
      </c>
      <c r="Z27" s="62">
        <f t="shared" si="9"/>
        <v>248</v>
      </c>
    </row>
    <row r="28" spans="1:29" ht="30.75" x14ac:dyDescent="0.25">
      <c r="A28" s="63" t="s">
        <v>125</v>
      </c>
      <c r="B28" s="63"/>
      <c r="C28" s="32">
        <v>0.5</v>
      </c>
      <c r="D28" s="32">
        <v>11</v>
      </c>
      <c r="E28" s="70">
        <v>2.65</v>
      </c>
      <c r="F28" s="46">
        <f t="shared" si="12"/>
        <v>1.538</v>
      </c>
      <c r="G28" s="57">
        <f>ROUND((C28*E28*F28*$Z$2),0)</f>
        <v>67</v>
      </c>
      <c r="H28" s="58"/>
      <c r="I28" s="59">
        <f>ROUND((G28*H28),0)</f>
        <v>0</v>
      </c>
      <c r="J28" s="57"/>
      <c r="K28" s="58"/>
      <c r="L28" s="59">
        <f>ROUND((G28*K28),0)</f>
        <v>0</v>
      </c>
      <c r="M28" s="32"/>
      <c r="N28" s="59">
        <f>ROUND((G28*$Z$4),0)</f>
        <v>13</v>
      </c>
      <c r="O28" s="57">
        <f t="shared" si="10"/>
        <v>80</v>
      </c>
      <c r="P28" s="32"/>
      <c r="Q28" s="50"/>
      <c r="R28" s="60"/>
      <c r="S28" s="59">
        <f>ROUND((O28*R28),0)</f>
        <v>0</v>
      </c>
      <c r="T28" s="59"/>
      <c r="U28" s="32"/>
      <c r="V28" s="32"/>
      <c r="W28" s="32"/>
      <c r="X28" s="61">
        <f t="shared" si="0"/>
        <v>80</v>
      </c>
      <c r="Y28" s="30">
        <f t="shared" si="11"/>
        <v>16</v>
      </c>
      <c r="Z28" s="62">
        <f>X28+Y28</f>
        <v>96</v>
      </c>
    </row>
    <row r="29" spans="1:29" ht="15.75" x14ac:dyDescent="0.25">
      <c r="A29" s="63" t="s">
        <v>121</v>
      </c>
      <c r="B29" s="63" t="s">
        <v>127</v>
      </c>
      <c r="C29" s="32">
        <v>1</v>
      </c>
      <c r="D29" s="32">
        <v>12</v>
      </c>
      <c r="E29" s="70">
        <v>2.84</v>
      </c>
      <c r="F29" s="46">
        <f t="shared" si="12"/>
        <v>1.456</v>
      </c>
      <c r="G29" s="57">
        <f t="shared" si="4"/>
        <v>136</v>
      </c>
      <c r="H29" s="58">
        <v>0.5</v>
      </c>
      <c r="I29" s="59">
        <f t="shared" si="5"/>
        <v>68</v>
      </c>
      <c r="J29" s="57"/>
      <c r="K29" s="58">
        <v>0.3</v>
      </c>
      <c r="L29" s="59">
        <f t="shared" si="6"/>
        <v>41</v>
      </c>
      <c r="M29" s="32"/>
      <c r="N29" s="59">
        <f t="shared" si="7"/>
        <v>27</v>
      </c>
      <c r="O29" s="57">
        <f t="shared" si="10"/>
        <v>272</v>
      </c>
      <c r="P29" s="32"/>
      <c r="Q29" s="50"/>
      <c r="R29" s="60">
        <v>0.5</v>
      </c>
      <c r="S29" s="59">
        <f t="shared" si="8"/>
        <v>136</v>
      </c>
      <c r="T29" s="59">
        <f>ROUND((20%*G29),0)</f>
        <v>27</v>
      </c>
      <c r="U29" s="32"/>
      <c r="V29" s="32"/>
      <c r="W29" s="32"/>
      <c r="X29" s="61">
        <f t="shared" si="0"/>
        <v>435</v>
      </c>
      <c r="Y29" s="30">
        <f>0.2*(X29-T29)</f>
        <v>81.600000000000009</v>
      </c>
      <c r="Z29" s="62">
        <f t="shared" si="9"/>
        <v>516.6</v>
      </c>
      <c r="AA29" s="59"/>
      <c r="AB29" s="59"/>
    </row>
    <row r="30" spans="1:29" ht="15.75" x14ac:dyDescent="0.25">
      <c r="A30" s="63" t="s">
        <v>128</v>
      </c>
      <c r="B30" s="63" t="s">
        <v>129</v>
      </c>
      <c r="C30" s="32">
        <v>0.5</v>
      </c>
      <c r="D30" s="32">
        <v>12</v>
      </c>
      <c r="E30" s="70">
        <v>2.84</v>
      </c>
      <c r="F30" s="46">
        <f t="shared" si="12"/>
        <v>1.456</v>
      </c>
      <c r="G30" s="57">
        <f t="shared" si="4"/>
        <v>68</v>
      </c>
      <c r="H30" s="58">
        <v>0.3</v>
      </c>
      <c r="I30" s="59">
        <f t="shared" si="5"/>
        <v>20</v>
      </c>
      <c r="J30" s="57"/>
      <c r="K30" s="58">
        <v>0.3</v>
      </c>
      <c r="L30" s="59">
        <f t="shared" si="6"/>
        <v>20</v>
      </c>
      <c r="M30" s="59"/>
      <c r="N30" s="59">
        <f t="shared" si="7"/>
        <v>14</v>
      </c>
      <c r="O30" s="57">
        <f t="shared" si="10"/>
        <v>122</v>
      </c>
      <c r="P30" s="32"/>
      <c r="Q30" s="50"/>
      <c r="R30" s="60">
        <v>0.3</v>
      </c>
      <c r="S30" s="59">
        <f t="shared" si="8"/>
        <v>37</v>
      </c>
      <c r="T30" s="65"/>
      <c r="U30" s="32"/>
      <c r="V30" s="32"/>
      <c r="W30" s="32"/>
      <c r="X30" s="61">
        <f t="shared" si="0"/>
        <v>159</v>
      </c>
      <c r="Y30" s="30">
        <f t="shared" si="11"/>
        <v>31.8</v>
      </c>
      <c r="Z30" s="62">
        <f t="shared" si="9"/>
        <v>190.8</v>
      </c>
    </row>
    <row r="31" spans="1:29" ht="15.75" x14ac:dyDescent="0.25">
      <c r="A31" s="63" t="s">
        <v>130</v>
      </c>
      <c r="B31" s="63" t="s">
        <v>153</v>
      </c>
      <c r="C31" s="32">
        <v>1</v>
      </c>
      <c r="D31" s="32">
        <v>5</v>
      </c>
      <c r="E31" s="70">
        <v>1.73</v>
      </c>
      <c r="F31" s="46">
        <f t="shared" si="12"/>
        <v>2.1480000000000001</v>
      </c>
      <c r="G31" s="57">
        <f t="shared" si="4"/>
        <v>123</v>
      </c>
      <c r="H31" s="58">
        <v>0.5</v>
      </c>
      <c r="I31" s="59">
        <f t="shared" si="5"/>
        <v>62</v>
      </c>
      <c r="J31" s="57"/>
      <c r="K31" s="58">
        <v>0.1</v>
      </c>
      <c r="L31" s="59">
        <f t="shared" si="6"/>
        <v>12</v>
      </c>
      <c r="M31" s="59"/>
      <c r="N31" s="59"/>
      <c r="O31" s="57">
        <f t="shared" si="10"/>
        <v>197</v>
      </c>
      <c r="P31" s="32"/>
      <c r="Q31" s="50"/>
      <c r="R31" s="60"/>
      <c r="S31" s="65"/>
      <c r="T31" s="32"/>
      <c r="U31" s="32"/>
      <c r="V31" s="32"/>
      <c r="W31" s="32"/>
      <c r="X31" s="61">
        <f t="shared" si="0"/>
        <v>197</v>
      </c>
      <c r="Y31" s="30">
        <f t="shared" si="11"/>
        <v>39.400000000000006</v>
      </c>
      <c r="Z31" s="62">
        <f t="shared" si="9"/>
        <v>236.4</v>
      </c>
    </row>
    <row r="32" spans="1:29" ht="15.75" x14ac:dyDescent="0.25">
      <c r="A32" s="63" t="s">
        <v>131</v>
      </c>
      <c r="B32" s="63" t="s">
        <v>154</v>
      </c>
      <c r="C32" s="32">
        <v>1</v>
      </c>
      <c r="D32" s="32">
        <v>4</v>
      </c>
      <c r="E32" s="70">
        <v>1.57</v>
      </c>
      <c r="F32" s="46">
        <f t="shared" si="12"/>
        <v>2.3210000000000002</v>
      </c>
      <c r="G32" s="57">
        <f t="shared" si="4"/>
        <v>120</v>
      </c>
      <c r="H32" s="58">
        <v>0.5</v>
      </c>
      <c r="I32" s="59">
        <f t="shared" si="5"/>
        <v>60</v>
      </c>
      <c r="J32" s="57"/>
      <c r="K32" s="58">
        <v>0.1</v>
      </c>
      <c r="L32" s="59">
        <f t="shared" si="6"/>
        <v>12</v>
      </c>
      <c r="M32" s="59"/>
      <c r="N32" s="59"/>
      <c r="O32" s="57">
        <f t="shared" si="10"/>
        <v>192</v>
      </c>
      <c r="P32" s="32"/>
      <c r="Q32" s="50"/>
      <c r="R32" s="60"/>
      <c r="S32" s="65"/>
      <c r="T32" s="32"/>
      <c r="U32" s="65"/>
      <c r="V32" s="32"/>
      <c r="W32" s="32"/>
      <c r="X32" s="61">
        <f t="shared" si="0"/>
        <v>192</v>
      </c>
      <c r="Y32" s="30">
        <f t="shared" si="11"/>
        <v>38.400000000000006</v>
      </c>
      <c r="Z32" s="62">
        <f t="shared" si="9"/>
        <v>230.4</v>
      </c>
    </row>
    <row r="33" spans="1:26" ht="15.75" x14ac:dyDescent="0.25">
      <c r="A33" s="63" t="s">
        <v>132</v>
      </c>
      <c r="B33" s="63" t="s">
        <v>155</v>
      </c>
      <c r="C33" s="32">
        <v>0.5</v>
      </c>
      <c r="D33" s="32">
        <v>4</v>
      </c>
      <c r="E33" s="70">
        <v>1.57</v>
      </c>
      <c r="F33" s="46">
        <f t="shared" si="12"/>
        <v>2.3210000000000002</v>
      </c>
      <c r="G33" s="57">
        <f t="shared" si="4"/>
        <v>60</v>
      </c>
      <c r="H33" s="58">
        <v>0.5</v>
      </c>
      <c r="I33" s="59">
        <f t="shared" si="5"/>
        <v>30</v>
      </c>
      <c r="J33" s="57"/>
      <c r="K33" s="58">
        <v>0.1</v>
      </c>
      <c r="L33" s="59">
        <f t="shared" si="6"/>
        <v>6</v>
      </c>
      <c r="M33" s="59"/>
      <c r="N33" s="59"/>
      <c r="O33" s="57">
        <f t="shared" si="10"/>
        <v>96</v>
      </c>
      <c r="P33" s="32"/>
      <c r="Q33" s="50"/>
      <c r="R33" s="60"/>
      <c r="S33" s="65"/>
      <c r="T33" s="32"/>
      <c r="U33" s="65"/>
      <c r="V33" s="32"/>
      <c r="W33" s="32"/>
      <c r="X33" s="61">
        <f t="shared" si="0"/>
        <v>96</v>
      </c>
      <c r="Y33" s="30">
        <f t="shared" si="11"/>
        <v>19.200000000000003</v>
      </c>
      <c r="Z33" s="62">
        <f t="shared" si="9"/>
        <v>115.2</v>
      </c>
    </row>
    <row r="34" spans="1:26" ht="15.75" x14ac:dyDescent="0.25">
      <c r="A34" s="63" t="s">
        <v>133</v>
      </c>
      <c r="B34" s="63" t="s">
        <v>156</v>
      </c>
      <c r="C34" s="32">
        <v>1</v>
      </c>
      <c r="D34" s="32">
        <v>4</v>
      </c>
      <c r="E34" s="70">
        <v>1.57</v>
      </c>
      <c r="F34" s="46">
        <f t="shared" si="12"/>
        <v>2.3210000000000002</v>
      </c>
      <c r="G34" s="57">
        <f t="shared" si="4"/>
        <v>120</v>
      </c>
      <c r="H34" s="58">
        <v>0.5</v>
      </c>
      <c r="I34" s="59">
        <f t="shared" si="5"/>
        <v>60</v>
      </c>
      <c r="J34" s="57"/>
      <c r="K34" s="58">
        <v>0.1</v>
      </c>
      <c r="L34" s="59">
        <f t="shared" si="6"/>
        <v>12</v>
      </c>
      <c r="M34" s="59"/>
      <c r="N34" s="59"/>
      <c r="O34" s="57">
        <f t="shared" si="10"/>
        <v>192</v>
      </c>
      <c r="P34" s="32"/>
      <c r="Q34" s="50"/>
      <c r="R34" s="60"/>
      <c r="S34" s="65"/>
      <c r="T34" s="32"/>
      <c r="U34" s="65"/>
      <c r="V34" s="32"/>
      <c r="W34" s="32"/>
      <c r="X34" s="61">
        <f t="shared" si="0"/>
        <v>192</v>
      </c>
      <c r="Y34" s="30">
        <f t="shared" si="11"/>
        <v>38.400000000000006</v>
      </c>
      <c r="Z34" s="62">
        <f t="shared" si="9"/>
        <v>230.4</v>
      </c>
    </row>
    <row r="35" spans="1:26" ht="15.75" x14ac:dyDescent="0.25">
      <c r="A35" s="63" t="s">
        <v>133</v>
      </c>
      <c r="B35" s="63" t="s">
        <v>157</v>
      </c>
      <c r="C35" s="32">
        <v>1</v>
      </c>
      <c r="D35" s="32">
        <v>4</v>
      </c>
      <c r="E35" s="70">
        <v>1.57</v>
      </c>
      <c r="F35" s="46">
        <f t="shared" si="12"/>
        <v>2.3210000000000002</v>
      </c>
      <c r="G35" s="57">
        <f t="shared" si="4"/>
        <v>120</v>
      </c>
      <c r="H35" s="58">
        <v>0.5</v>
      </c>
      <c r="I35" s="59">
        <f t="shared" si="5"/>
        <v>60</v>
      </c>
      <c r="J35" s="57"/>
      <c r="K35" s="58">
        <v>0.1</v>
      </c>
      <c r="L35" s="59">
        <f t="shared" si="6"/>
        <v>12</v>
      </c>
      <c r="M35" s="59"/>
      <c r="N35" s="59"/>
      <c r="O35" s="57">
        <f t="shared" si="10"/>
        <v>192</v>
      </c>
      <c r="P35" s="32"/>
      <c r="Q35" s="50"/>
      <c r="R35" s="60"/>
      <c r="S35" s="65"/>
      <c r="T35" s="32"/>
      <c r="U35" s="65"/>
      <c r="V35" s="32"/>
      <c r="W35" s="32"/>
      <c r="X35" s="61">
        <f t="shared" si="0"/>
        <v>192</v>
      </c>
      <c r="Y35" s="30">
        <f t="shared" si="11"/>
        <v>38.400000000000006</v>
      </c>
      <c r="Z35" s="62">
        <f t="shared" si="9"/>
        <v>230.4</v>
      </c>
    </row>
    <row r="36" spans="1:26" ht="15.75" x14ac:dyDescent="0.25">
      <c r="A36" s="63" t="s">
        <v>134</v>
      </c>
      <c r="B36" s="63" t="s">
        <v>135</v>
      </c>
      <c r="C36" s="32">
        <v>0.25</v>
      </c>
      <c r="D36" s="32">
        <v>6</v>
      </c>
      <c r="E36" s="70">
        <v>1.9</v>
      </c>
      <c r="F36" s="46">
        <f t="shared" si="12"/>
        <v>1.988</v>
      </c>
      <c r="G36" s="57">
        <f t="shared" si="4"/>
        <v>31</v>
      </c>
      <c r="H36" s="58">
        <v>0.5</v>
      </c>
      <c r="I36" s="59">
        <f t="shared" si="5"/>
        <v>16</v>
      </c>
      <c r="J36" s="57"/>
      <c r="K36" s="58">
        <v>0.1</v>
      </c>
      <c r="L36" s="59">
        <f t="shared" si="6"/>
        <v>3</v>
      </c>
      <c r="M36" s="59"/>
      <c r="N36" s="59"/>
      <c r="O36" s="57">
        <f t="shared" si="10"/>
        <v>50</v>
      </c>
      <c r="P36" s="32"/>
      <c r="Q36" s="50"/>
      <c r="R36" s="60"/>
      <c r="S36" s="65"/>
      <c r="T36" s="32"/>
      <c r="U36" s="32"/>
      <c r="V36" s="32"/>
      <c r="W36" s="32"/>
      <c r="X36" s="61">
        <f t="shared" si="0"/>
        <v>50</v>
      </c>
      <c r="Y36" s="30">
        <f t="shared" si="11"/>
        <v>10</v>
      </c>
      <c r="Z36" s="62">
        <f t="shared" si="9"/>
        <v>60</v>
      </c>
    </row>
    <row r="37" spans="1:26" ht="15.75" x14ac:dyDescent="0.25">
      <c r="A37" s="63" t="s">
        <v>136</v>
      </c>
      <c r="B37" s="63" t="s">
        <v>158</v>
      </c>
      <c r="C37" s="32">
        <v>1</v>
      </c>
      <c r="D37" s="32">
        <v>2</v>
      </c>
      <c r="E37" s="70">
        <v>1.1599999999999999</v>
      </c>
      <c r="F37" s="46">
        <f t="shared" si="12"/>
        <v>3.0659999999999998</v>
      </c>
      <c r="G37" s="57">
        <f t="shared" si="4"/>
        <v>117</v>
      </c>
      <c r="H37" s="58">
        <v>0.5</v>
      </c>
      <c r="I37" s="59">
        <f t="shared" si="5"/>
        <v>59</v>
      </c>
      <c r="J37" s="57"/>
      <c r="K37" s="58">
        <v>0.1</v>
      </c>
      <c r="L37" s="59">
        <f t="shared" si="6"/>
        <v>12</v>
      </c>
      <c r="M37" s="59"/>
      <c r="N37" s="59"/>
      <c r="O37" s="57">
        <f t="shared" si="10"/>
        <v>188</v>
      </c>
      <c r="P37" s="32"/>
      <c r="Q37" s="32"/>
      <c r="R37" s="60"/>
      <c r="S37" s="65"/>
      <c r="T37" s="32"/>
      <c r="U37" s="32"/>
      <c r="V37" s="32"/>
      <c r="W37" s="32"/>
      <c r="X37" s="61">
        <f t="shared" si="0"/>
        <v>188</v>
      </c>
      <c r="Y37" s="30">
        <f t="shared" si="11"/>
        <v>37.6</v>
      </c>
      <c r="Z37" s="62">
        <f t="shared" si="9"/>
        <v>225.6</v>
      </c>
    </row>
    <row r="38" spans="1:26" ht="15.75" x14ac:dyDescent="0.25">
      <c r="A38" s="63" t="s">
        <v>133</v>
      </c>
      <c r="B38" s="63"/>
      <c r="C38" s="32">
        <v>0.5</v>
      </c>
      <c r="D38" s="32">
        <v>4</v>
      </c>
      <c r="E38" s="32">
        <v>1.57</v>
      </c>
      <c r="F38" s="71">
        <f>IF(D38=1,2.862,IF(D38=2,2.505,IF(D38=3,2.161,IF(D38=4,1.877,IF(D38=5,1.738,IF(D38=6,1.597,IF(D38=7,1.511,IF(D38=8,1.429,))))))))+IF(D38=9,1.352,IF(D38=10,1.275,IF(D38=11,1.204,IF(D38=12,1.141,IF(D38=13,1.077,IF(D38=14,1.03,IF(D38=15,1,IF(D38=16,0.99,))))))))+IF(D38=17,0.98,IF(D38=18,0.97,IF(D38=19,0.965,IF(D38=20,0.95,IF(D38=21,0.945,IF(D38=22,0.94))))))</f>
        <v>1.877</v>
      </c>
      <c r="G38" s="57">
        <f t="shared" si="4"/>
        <v>49</v>
      </c>
      <c r="H38" s="58">
        <v>0</v>
      </c>
      <c r="I38" s="59">
        <f t="shared" si="5"/>
        <v>0</v>
      </c>
      <c r="J38" s="57"/>
      <c r="K38" s="58">
        <v>0</v>
      </c>
      <c r="L38" s="59">
        <f t="shared" si="6"/>
        <v>0</v>
      </c>
      <c r="M38" s="59"/>
      <c r="N38" s="59"/>
      <c r="O38" s="57">
        <f t="shared" si="10"/>
        <v>49</v>
      </c>
      <c r="P38" s="32"/>
      <c r="Q38" s="65">
        <f>IF(D38=1,240000,IF(D38=2,238000,IF(D38=3,226000,IF(D38=4,224000,IF(D38=5,222000,IF(D38=6,220000,IF(D38=7,219000,IF(D38=8,217000,))))))))+IF(D38=9,215000,IF(D38=10,214000,IF(D38=11,212000,IF(D38=12,210000,IF(D38=13,208000,IF(D38=14,205000,IF(D38=15,158000,IF(D38=16,188000,))))))))+IF(D38=17,177000,IF(D38=18,166000,IF(D38=19,153000,IF(D38=20,141000,IF(D38=21,127000,IF(D38=22,111000))))))</f>
        <v>224000</v>
      </c>
      <c r="R38" s="60"/>
      <c r="S38" s="65"/>
      <c r="T38" s="32"/>
      <c r="U38" s="65"/>
      <c r="V38" s="32"/>
      <c r="W38" s="32"/>
      <c r="X38" s="61">
        <f t="shared" si="0"/>
        <v>224049</v>
      </c>
      <c r="Y38" s="30">
        <f>(X38-T38-Q38)*0.2</f>
        <v>9.8000000000000007</v>
      </c>
      <c r="Z38" s="62">
        <f t="shared" si="9"/>
        <v>224058.8</v>
      </c>
    </row>
    <row r="39" spans="1:26" ht="15.75" x14ac:dyDescent="0.25">
      <c r="A39" s="63" t="s">
        <v>133</v>
      </c>
      <c r="B39" s="63"/>
      <c r="C39" s="32">
        <v>1</v>
      </c>
      <c r="D39" s="32">
        <v>4</v>
      </c>
      <c r="E39" s="32">
        <v>1.57</v>
      </c>
      <c r="F39" s="71">
        <f>IF(D39=1,2.862,IF(D39=2,2.505,IF(D39=3,2.161,IF(D39=4,1.877,IF(D39=5,1.738,IF(D39=6,1.597,IF(D39=7,1.511,IF(D39=8,1.429,))))))))+IF(D39=9,1.352,IF(D39=10,1.275,IF(D39=11,1.204,IF(D39=12,1.141,IF(D39=13,1.077,IF(D39=14,1.03,IF(D39=15,1,IF(D39=16,0.99,))))))))+IF(D39=17,0.98,IF(D39=18,0.97,IF(D39=19,0.965,IF(D39=20,0.95,IF(D39=21,0.945,IF(D39=22,0.94))))))</f>
        <v>1.877</v>
      </c>
      <c r="G39" s="57">
        <f t="shared" si="4"/>
        <v>97</v>
      </c>
      <c r="H39" s="58">
        <v>0</v>
      </c>
      <c r="I39" s="59">
        <f t="shared" si="5"/>
        <v>0</v>
      </c>
      <c r="J39" s="57"/>
      <c r="K39" s="58">
        <v>0</v>
      </c>
      <c r="L39" s="59">
        <f t="shared" si="6"/>
        <v>0</v>
      </c>
      <c r="M39" s="59"/>
      <c r="N39" s="59"/>
      <c r="O39" s="57">
        <f t="shared" si="10"/>
        <v>97</v>
      </c>
      <c r="P39" s="32"/>
      <c r="Q39" s="65">
        <f>IF(D39=1,240000,IF(D39=2,238000,IF(D39=3,226000,IF(D39=4,224000,IF(D39=5,222000,IF(D39=6,220000,IF(D39=7,219000,IF(D39=8,217000,))))))))+IF(D39=9,215000,IF(D39=10,214000,IF(D39=11,212000,IF(D39=12,210000,IF(D39=13,208000,IF(D39=14,205000,IF(D39=15,158000,IF(D39=16,188000,))))))))+IF(D39=17,177000,IF(D39=18,166000,IF(D39=19,153000,IF(D39=20,141000,IF(D39=21,127000,IF(D39=22,111000))))))</f>
        <v>224000</v>
      </c>
      <c r="R39" s="60"/>
      <c r="S39" s="65"/>
      <c r="T39" s="32"/>
      <c r="U39" s="65"/>
      <c r="V39" s="32"/>
      <c r="W39" s="32"/>
      <c r="X39" s="61">
        <f t="shared" si="0"/>
        <v>224097</v>
      </c>
      <c r="Y39" s="30">
        <f>(X39-T39-Q39)*0.2</f>
        <v>19.400000000000002</v>
      </c>
      <c r="Z39" s="62">
        <f t="shared" si="9"/>
        <v>224116.4</v>
      </c>
    </row>
    <row r="40" spans="1:26" ht="15.75" x14ac:dyDescent="0.25">
      <c r="A40" s="63" t="s">
        <v>134</v>
      </c>
      <c r="B40" s="63" t="s">
        <v>135</v>
      </c>
      <c r="C40" s="32">
        <v>1</v>
      </c>
      <c r="D40" s="32">
        <v>6</v>
      </c>
      <c r="E40" s="32">
        <v>1.9</v>
      </c>
      <c r="F40" s="71">
        <f>IF(D40=1,2.862,IF(D40=2,2.505,IF(D40=3,2.161,IF(D40=4,1.877,IF(D40=5,1.738,IF(D40=6,1.597,IF(D40=7,1.511,IF(D40=8,1.429,))))))))+IF(D40=9,1.352,IF(D40=10,1.275,IF(D40=11,1.204,IF(D40=12,1.141,IF(D40=13,1.077,IF(D40=14,1.03,IF(D40=15,1,IF(D40=16,0.99,))))))))+IF(D40=17,0.98,IF(D40=18,0.97,IF(D40=19,0.965,IF(D40=20,0.95,IF(D40=21,0.945,IF(D40=22,0.94))))))</f>
        <v>1.597</v>
      </c>
      <c r="G40" s="57">
        <f t="shared" si="4"/>
        <v>100</v>
      </c>
      <c r="H40" s="58">
        <v>0.5</v>
      </c>
      <c r="I40" s="59">
        <f t="shared" si="5"/>
        <v>50</v>
      </c>
      <c r="J40" s="57"/>
      <c r="K40" s="58">
        <v>0.1</v>
      </c>
      <c r="L40" s="59">
        <f t="shared" si="6"/>
        <v>10</v>
      </c>
      <c r="M40" s="59"/>
      <c r="N40" s="59"/>
      <c r="O40" s="57">
        <f t="shared" si="10"/>
        <v>160</v>
      </c>
      <c r="P40" s="32"/>
      <c r="Q40" s="65">
        <f>IF(D40=1,240000,IF(D40=2,238000,IF(D40=3,226000,IF(D40=4,224000,IF(D40=5,222000,IF(D40=6,220000,IF(D40=7,219000,IF(D40=8,217000,))))))))+IF(D40=9,215000,IF(D40=10,214000,IF(D40=11,212000,IF(D40=12,210000,IF(D40=13,208000,IF(D40=14,205000,IF(D40=15,158000,IF(D40=16,188000,))))))))+IF(D40=17,177000,IF(D40=18,166000,IF(D40=19,153000,IF(D40=20,141000,IF(D40=21,127000,IF(D40=22,111000))))))</f>
        <v>220000</v>
      </c>
      <c r="R40" s="60"/>
      <c r="S40" s="65"/>
      <c r="T40" s="32"/>
      <c r="U40" s="32"/>
      <c r="V40" s="32"/>
      <c r="W40" s="32"/>
      <c r="X40" s="61">
        <f t="shared" si="0"/>
        <v>220160</v>
      </c>
      <c r="Y40" s="30">
        <f>(X40-T40-Q40)*0.2</f>
        <v>32</v>
      </c>
      <c r="Z40" s="62">
        <f t="shared" si="9"/>
        <v>220192</v>
      </c>
    </row>
    <row r="41" spans="1:26" ht="15.75" x14ac:dyDescent="0.25">
      <c r="A41" s="63" t="s">
        <v>136</v>
      </c>
      <c r="B41" s="63" t="s">
        <v>161</v>
      </c>
      <c r="C41" s="32">
        <v>1</v>
      </c>
      <c r="D41" s="32">
        <v>2</v>
      </c>
      <c r="E41" s="32">
        <v>1.1599999999999999</v>
      </c>
      <c r="F41" s="71">
        <f>IF(D41=1,2.862,IF(D41=2,2.505,IF(D41=3,2.161,IF(D41=4,1.877,IF(D41=5,1.738,IF(D41=6,1.597,IF(D41=7,1.511,IF(D41=8,1.429,))))))))+IF(D41=9,1.352,IF(D41=10,1.275,IF(D41=11,1.204,IF(D41=12,1.141,IF(D41=13,1.077,IF(D41=14,1.03,IF(D41=15,1,IF(D41=16,0.99,))))))))+IF(D41=17,0.98,IF(D41=18,0.97,IF(D41=19,0.965,IF(D41=20,0.95,IF(D41=21,0.945,IF(D41=22,0.94))))))</f>
        <v>2.5049999999999999</v>
      </c>
      <c r="G41" s="57">
        <f t="shared" si="4"/>
        <v>96</v>
      </c>
      <c r="H41" s="58">
        <v>0.5</v>
      </c>
      <c r="I41" s="59">
        <f t="shared" si="5"/>
        <v>48</v>
      </c>
      <c r="J41" s="57"/>
      <c r="K41" s="58">
        <v>0.1</v>
      </c>
      <c r="L41" s="59">
        <f t="shared" si="6"/>
        <v>10</v>
      </c>
      <c r="M41" s="59"/>
      <c r="N41" s="59"/>
      <c r="O41" s="57">
        <f t="shared" si="10"/>
        <v>154</v>
      </c>
      <c r="P41" s="32"/>
      <c r="Q41" s="32"/>
      <c r="R41" s="60"/>
      <c r="S41" s="65"/>
      <c r="T41" s="32"/>
      <c r="U41" s="32"/>
      <c r="V41" s="32"/>
      <c r="W41" s="32"/>
      <c r="X41" s="61">
        <f t="shared" si="0"/>
        <v>154</v>
      </c>
      <c r="Y41" s="30">
        <f>(X41-T41-Q41)*0.2</f>
        <v>30.8</v>
      </c>
      <c r="Z41" s="62">
        <f t="shared" si="9"/>
        <v>184.8</v>
      </c>
    </row>
    <row r="42" spans="1:26" ht="15.75" x14ac:dyDescent="0.25">
      <c r="A42" s="64" t="s">
        <v>12</v>
      </c>
      <c r="B42" s="64"/>
      <c r="C42" s="57">
        <f>SUM(C15:C41)</f>
        <v>21.25</v>
      </c>
      <c r="D42" s="32"/>
      <c r="E42" s="32"/>
      <c r="F42" s="32"/>
      <c r="G42" s="57">
        <f>SUM(G15:G41)</f>
        <v>2700</v>
      </c>
      <c r="H42" s="58"/>
      <c r="I42" s="57">
        <f>SUM(I15:I41)</f>
        <v>1042</v>
      </c>
      <c r="J42" s="57">
        <f>SUM(J15:J41)</f>
        <v>144.5</v>
      </c>
      <c r="K42" s="58"/>
      <c r="L42" s="57">
        <f>SUM(L15:L41)</f>
        <v>457</v>
      </c>
      <c r="M42" s="57">
        <f>SUM(M15:M41)</f>
        <v>50.6</v>
      </c>
      <c r="N42" s="57">
        <f>SUM(N15:N41)</f>
        <v>320</v>
      </c>
      <c r="O42" s="57">
        <f>SUM(O15:O41)</f>
        <v>4619.1000000000004</v>
      </c>
      <c r="P42" s="57" t="e">
        <f>SUM(#REF!)</f>
        <v>#REF!</v>
      </c>
      <c r="Q42" s="57">
        <f>SUM(Q15:Q41)</f>
        <v>668000</v>
      </c>
      <c r="R42" s="57"/>
      <c r="S42" s="57">
        <f>SUM(S15:S41)</f>
        <v>1209</v>
      </c>
      <c r="T42" s="57">
        <f>SUM(T15:T41)</f>
        <v>189</v>
      </c>
      <c r="U42" s="57" t="e">
        <f>SUM(#REF!)</f>
        <v>#REF!</v>
      </c>
      <c r="V42" s="57">
        <f>SUM(V15:V41)</f>
        <v>0</v>
      </c>
      <c r="W42" s="57">
        <f>SUM(W15:W41)</f>
        <v>0</v>
      </c>
      <c r="X42" s="57">
        <f>SUM(X15:X41)</f>
        <v>674017.1</v>
      </c>
      <c r="Y42" s="30" t="e">
        <f>SUM(#REF!)</f>
        <v>#REF!</v>
      </c>
      <c r="Z42" s="62" t="e">
        <f>SUM(#REF!)</f>
        <v>#REF!</v>
      </c>
    </row>
    <row r="43" spans="1:26" x14ac:dyDescent="0.2">
      <c r="G43" s="62"/>
      <c r="H43" s="62"/>
      <c r="I43" s="62"/>
      <c r="J43" s="62"/>
      <c r="K43" s="62"/>
      <c r="L43" s="62"/>
      <c r="M43" s="62"/>
    </row>
  </sheetData>
  <mergeCells count="8">
    <mergeCell ref="A12:W12"/>
    <mergeCell ref="A14:X14"/>
    <mergeCell ref="A6:F6"/>
    <mergeCell ref="A7:X7"/>
    <mergeCell ref="A8:X8"/>
    <mergeCell ref="A9:X9"/>
    <mergeCell ref="A10:X10"/>
    <mergeCell ref="A11:X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Граждане РБ</vt:lpstr>
      <vt:lpstr>стомотология МХЛ</vt:lpstr>
      <vt:lpstr>Иностранцы</vt:lpstr>
      <vt:lpstr>Лист4</vt:lpstr>
      <vt:lpstr>Лист3</vt:lpstr>
      <vt:lpstr>Лист6</vt:lpstr>
      <vt:lpstr>'Граждане РБ'!Заголовки_для_печати</vt:lpstr>
      <vt:lpstr>Иностранцы!Заголовки_для_печати</vt:lpstr>
      <vt:lpstr>'стомотология МХЛ'!Заголовки_для_печати</vt:lpstr>
      <vt:lpstr>'Граждане РБ'!Область_печати</vt:lpstr>
      <vt:lpstr>Иностранцы!Область_печати</vt:lpstr>
      <vt:lpstr>'стомотология МХЛ'!Область_печати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2022-02-18T11:18:56Z</cp:lastPrinted>
  <dcterms:created xsi:type="dcterms:W3CDTF">1996-10-08T23:32:33Z</dcterms:created>
  <dcterms:modified xsi:type="dcterms:W3CDTF">2022-03-03T12:33:38Z</dcterms:modified>
</cp:coreProperties>
</file>