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ЦПКРЛХ\Desktop\"/>
    </mc:Choice>
  </mc:AlternateContent>
  <bookViews>
    <workbookView xWindow="0" yWindow="252" windowWidth="15480" windowHeight="9348" tabRatio="829" firstSheet="9" activeTab="15"/>
  </bookViews>
  <sheets>
    <sheet name="обучение РБ" sheetId="35" r:id="rId1"/>
    <sheet name="обучение МЛХ" sheetId="34" r:id="rId2"/>
    <sheet name="обучение иностр." sheetId="25" r:id="rId3"/>
    <sheet name="гостиница МЛХ " sheetId="37" r:id="rId4"/>
    <sheet name="гостиница РБ " sheetId="36" r:id="rId5"/>
    <sheet name="гостиница иностр. " sheetId="38" r:id="rId6"/>
    <sheet name="медицина МЛХ " sheetId="28" r:id="rId7"/>
    <sheet name="медицина РБ " sheetId="29" r:id="rId8"/>
    <sheet name="медицина иностр. " sheetId="27" r:id="rId9"/>
    <sheet name="Анализ крови" sheetId="30" r:id="rId10"/>
    <sheet name="стомотология МХЛ " sheetId="31" r:id="rId11"/>
    <sheet name="стоматология РБ " sheetId="32" r:id="rId12"/>
    <sheet name="стоматология иностр. " sheetId="33" r:id="rId13"/>
    <sheet name="Доп.услуги РБ " sheetId="26" r:id="rId14"/>
    <sheet name="Доп.услуги иностр." sheetId="7" r:id="rId15"/>
    <sheet name="Транспорт услуги" sheetId="39" r:id="rId16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9">'Анализ крови'!$A$1:$K$41</definedName>
    <definedName name="_xlnm.Print_Area" localSheetId="5">'гостиница иностр. '!$A$1:$G$25</definedName>
    <definedName name="_xlnm.Print_Area" localSheetId="3">'гостиница МЛХ '!$A$1:$H$26</definedName>
    <definedName name="_xlnm.Print_Area" localSheetId="4">'гостиница РБ '!$A$1:$H$25</definedName>
    <definedName name="_xlnm.Print_Area" localSheetId="14">'Доп.услуги иностр.'!$A$1:$G$18</definedName>
    <definedName name="_xlnm.Print_Area" localSheetId="13">'Доп.услуги РБ '!$A$1:$G$16</definedName>
    <definedName name="_xlnm.Print_Area" localSheetId="8">'медицина иностр. '!$A$1:$J$82</definedName>
    <definedName name="_xlnm.Print_Area" localSheetId="6">'медицина МЛХ '!$A$1:$J$83</definedName>
    <definedName name="_xlnm.Print_Area" localSheetId="7">'медицина РБ '!$A$1:$J$84</definedName>
    <definedName name="_xlnm.Print_Area" localSheetId="2">'обучение иностр.'!$A$1:$E$14</definedName>
    <definedName name="_xlnm.Print_Area" localSheetId="12">'стоматология иностр. '!$A$1:$M$277</definedName>
    <definedName name="_xlnm.Print_Area" localSheetId="11">'стоматология РБ '!$A$1:$M$283</definedName>
    <definedName name="_xlnm.Print_Area" localSheetId="10">'стомотология МХЛ '!$A$1:$M$277</definedName>
  </definedNames>
  <calcPr calcId="162913"/>
</workbook>
</file>

<file path=xl/calcChain.xml><?xml version="1.0" encoding="utf-8"?>
<calcChain xmlns="http://schemas.openxmlformats.org/spreadsheetml/2006/main">
  <c r="E22" i="38" l="1"/>
  <c r="F22" i="38" s="1"/>
  <c r="G22" i="38" s="1"/>
  <c r="E21" i="38"/>
  <c r="F21" i="38" s="1"/>
  <c r="G21" i="38" s="1"/>
  <c r="F20" i="38"/>
  <c r="G20" i="38" s="1"/>
  <c r="E20" i="38"/>
  <c r="E19" i="38"/>
  <c r="F19" i="38" s="1"/>
  <c r="G19" i="38" s="1"/>
  <c r="E18" i="38"/>
  <c r="F18" i="38" s="1"/>
  <c r="G18" i="38" s="1"/>
  <c r="F23" i="37" l="1"/>
  <c r="G23" i="37" s="1"/>
  <c r="H23" i="37" s="1"/>
  <c r="G22" i="37"/>
  <c r="H22" i="37" s="1"/>
  <c r="F22" i="37"/>
  <c r="F21" i="37"/>
  <c r="G21" i="37" s="1"/>
  <c r="H21" i="37" s="1"/>
  <c r="H20" i="37"/>
  <c r="F20" i="37"/>
  <c r="G20" i="37" s="1"/>
  <c r="H19" i="37"/>
  <c r="F19" i="37"/>
  <c r="G19" i="37" s="1"/>
  <c r="F22" i="36" l="1"/>
  <c r="G22" i="36" s="1"/>
  <c r="H22" i="36" s="1"/>
  <c r="F21" i="36"/>
  <c r="G21" i="36" s="1"/>
  <c r="H21" i="36" s="1"/>
  <c r="F20" i="36"/>
  <c r="G20" i="36" s="1"/>
  <c r="H20" i="36" s="1"/>
  <c r="F19" i="36"/>
  <c r="G19" i="36" s="1"/>
  <c r="H19" i="36" s="1"/>
  <c r="F18" i="36"/>
  <c r="G18" i="36" s="1"/>
  <c r="H18" i="36" s="1"/>
  <c r="H274" i="33" l="1"/>
  <c r="H273" i="33"/>
  <c r="H272" i="33" s="1"/>
  <c r="K272" i="33" s="1"/>
  <c r="H270" i="33"/>
  <c r="H269" i="33"/>
  <c r="K269" i="33" s="1"/>
  <c r="H268" i="33"/>
  <c r="H267" i="33" s="1"/>
  <c r="J267" i="33"/>
  <c r="K267" i="33" s="1"/>
  <c r="K266" i="33"/>
  <c r="H266" i="33"/>
  <c r="H265" i="33" s="1"/>
  <c r="K264" i="33"/>
  <c r="H264" i="33"/>
  <c r="H263" i="33" s="1"/>
  <c r="J263" i="33"/>
  <c r="J265" i="33" s="1"/>
  <c r="K265" i="33" s="1"/>
  <c r="K262" i="33"/>
  <c r="H262" i="33"/>
  <c r="K261" i="33"/>
  <c r="H261" i="33"/>
  <c r="K260" i="33"/>
  <c r="H260" i="33"/>
  <c r="K259" i="33"/>
  <c r="H259" i="33"/>
  <c r="K258" i="33"/>
  <c r="G258" i="33"/>
  <c r="H258" i="33" s="1"/>
  <c r="K257" i="33"/>
  <c r="H257" i="33"/>
  <c r="K256" i="33"/>
  <c r="H256" i="33"/>
  <c r="K255" i="33"/>
  <c r="K254" i="33"/>
  <c r="K253" i="33"/>
  <c r="K252" i="33"/>
  <c r="K251" i="33"/>
  <c r="K250" i="33"/>
  <c r="K249" i="33"/>
  <c r="K248" i="33"/>
  <c r="K247" i="33"/>
  <c r="K246" i="33"/>
  <c r="K245" i="33"/>
  <c r="K244" i="33"/>
  <c r="K243" i="33"/>
  <c r="K242" i="33"/>
  <c r="K241" i="33"/>
  <c r="K240" i="33"/>
  <c r="K239" i="33"/>
  <c r="K238" i="33"/>
  <c r="K237" i="33"/>
  <c r="K236" i="33"/>
  <c r="K235" i="33"/>
  <c r="K233" i="33"/>
  <c r="K232" i="33"/>
  <c r="K231" i="33"/>
  <c r="K230" i="33"/>
  <c r="K229" i="33"/>
  <c r="K228" i="33"/>
  <c r="K227" i="33"/>
  <c r="K226" i="33"/>
  <c r="K225" i="33"/>
  <c r="K224" i="33"/>
  <c r="K223" i="33"/>
  <c r="K222" i="33"/>
  <c r="K221" i="33"/>
  <c r="K220" i="33"/>
  <c r="K219" i="33"/>
  <c r="K218" i="33"/>
  <c r="K217" i="33"/>
  <c r="K216" i="33"/>
  <c r="K215" i="33"/>
  <c r="K214" i="33"/>
  <c r="K213" i="33"/>
  <c r="K211" i="33"/>
  <c r="K210" i="33"/>
  <c r="K209" i="33"/>
  <c r="K208" i="33"/>
  <c r="K207" i="33"/>
  <c r="K206" i="33"/>
  <c r="K205" i="33"/>
  <c r="K204" i="33"/>
  <c r="K203" i="33"/>
  <c r="K202" i="33"/>
  <c r="K201" i="33"/>
  <c r="K200" i="33"/>
  <c r="K199" i="33"/>
  <c r="K198" i="33"/>
  <c r="K197" i="33"/>
  <c r="K196" i="33"/>
  <c r="K195" i="33"/>
  <c r="K194" i="33"/>
  <c r="K193" i="33"/>
  <c r="K192" i="33"/>
  <c r="K191" i="33"/>
  <c r="K190" i="33"/>
  <c r="K189" i="33"/>
  <c r="K188" i="33"/>
  <c r="K186" i="33"/>
  <c r="H186" i="33"/>
  <c r="H185" i="33" s="1"/>
  <c r="H184" i="33" s="1"/>
  <c r="H183" i="33" s="1"/>
  <c r="K185" i="33"/>
  <c r="K184" i="33"/>
  <c r="K183" i="33"/>
  <c r="K182" i="33"/>
  <c r="K181" i="33"/>
  <c r="K180" i="33"/>
  <c r="K179" i="33"/>
  <c r="K178" i="33"/>
  <c r="K177" i="33"/>
  <c r="K176" i="33"/>
  <c r="K175" i="33"/>
  <c r="K174" i="33"/>
  <c r="K173" i="33"/>
  <c r="K172" i="33"/>
  <c r="K171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3" i="33"/>
  <c r="K122" i="33"/>
  <c r="K121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I21" i="33"/>
  <c r="K263" i="33" l="1"/>
  <c r="H280" i="32"/>
  <c r="H279" i="32"/>
  <c r="H278" i="32" s="1"/>
  <c r="K278" i="32" s="1"/>
  <c r="H276" i="32"/>
  <c r="H275" i="32"/>
  <c r="K275" i="32" s="1"/>
  <c r="H274" i="32"/>
  <c r="H273" i="32" s="1"/>
  <c r="J273" i="32"/>
  <c r="K273" i="32" s="1"/>
  <c r="K272" i="32"/>
  <c r="H272" i="32"/>
  <c r="H271" i="32" s="1"/>
  <c r="K270" i="32"/>
  <c r="H270" i="32"/>
  <c r="H269" i="32" s="1"/>
  <c r="J269" i="32"/>
  <c r="J271" i="32" s="1"/>
  <c r="K271" i="32" s="1"/>
  <c r="K268" i="32"/>
  <c r="H268" i="32"/>
  <c r="K267" i="32"/>
  <c r="H267" i="32"/>
  <c r="K266" i="32"/>
  <c r="H266" i="32"/>
  <c r="K265" i="32"/>
  <c r="H265" i="32"/>
  <c r="K264" i="32"/>
  <c r="G264" i="32"/>
  <c r="H264" i="32" s="1"/>
  <c r="K263" i="32"/>
  <c r="H263" i="32"/>
  <c r="K262" i="32"/>
  <c r="H262" i="32"/>
  <c r="K261" i="32"/>
  <c r="K260" i="32"/>
  <c r="K259" i="32"/>
  <c r="K258" i="32"/>
  <c r="K257" i="32"/>
  <c r="K256" i="32"/>
  <c r="K255" i="32"/>
  <c r="K254" i="32"/>
  <c r="K253" i="32"/>
  <c r="K252" i="32"/>
  <c r="K251" i="32"/>
  <c r="K250" i="32"/>
  <c r="K249" i="32"/>
  <c r="K248" i="32"/>
  <c r="K247" i="32"/>
  <c r="K246" i="32"/>
  <c r="K245" i="32"/>
  <c r="K244" i="32"/>
  <c r="K243" i="32"/>
  <c r="K242" i="32"/>
  <c r="K241" i="32"/>
  <c r="K239" i="32"/>
  <c r="K238" i="32"/>
  <c r="K237" i="32"/>
  <c r="K236" i="32"/>
  <c r="K235" i="32"/>
  <c r="K234" i="32"/>
  <c r="K233" i="32"/>
  <c r="K232" i="32"/>
  <c r="K231" i="32"/>
  <c r="K230" i="32"/>
  <c r="K229" i="32"/>
  <c r="K228" i="32"/>
  <c r="K227" i="32"/>
  <c r="K226" i="32"/>
  <c r="K225" i="32"/>
  <c r="K224" i="32"/>
  <c r="K223" i="32"/>
  <c r="K222" i="32"/>
  <c r="K221" i="32"/>
  <c r="K220" i="32"/>
  <c r="K219" i="32"/>
  <c r="K217" i="32"/>
  <c r="H217" i="32"/>
  <c r="K216" i="32"/>
  <c r="H216" i="32"/>
  <c r="H215" i="32" s="1"/>
  <c r="H214" i="32" s="1"/>
  <c r="K215" i="32"/>
  <c r="K214" i="32"/>
  <c r="K213" i="32"/>
  <c r="K212" i="32"/>
  <c r="K211" i="32"/>
  <c r="K210" i="32"/>
  <c r="K183" i="32"/>
  <c r="K182" i="32"/>
  <c r="K181" i="32"/>
  <c r="K180" i="32"/>
  <c r="K179" i="32"/>
  <c r="K178" i="32"/>
  <c r="K177" i="32"/>
  <c r="K175" i="32"/>
  <c r="K174" i="32"/>
  <c r="K173" i="32"/>
  <c r="K172" i="32"/>
  <c r="K170" i="32"/>
  <c r="K169" i="32"/>
  <c r="K168" i="32"/>
  <c r="K167" i="32"/>
  <c r="K166" i="32"/>
  <c r="K165" i="32"/>
  <c r="K164" i="32"/>
  <c r="K163" i="32"/>
  <c r="K162" i="32"/>
  <c r="K161" i="32"/>
  <c r="K160" i="32"/>
  <c r="K159" i="32"/>
  <c r="K158" i="32"/>
  <c r="K157" i="32"/>
  <c r="K156" i="32"/>
  <c r="K155" i="32"/>
  <c r="K154" i="32"/>
  <c r="K153" i="32"/>
  <c r="K152" i="32"/>
  <c r="K151" i="32"/>
  <c r="K150" i="32"/>
  <c r="K149" i="32"/>
  <c r="K148" i="32"/>
  <c r="K147" i="32"/>
  <c r="K146" i="32"/>
  <c r="K145" i="32"/>
  <c r="K144" i="32"/>
  <c r="K143" i="32"/>
  <c r="K142" i="32"/>
  <c r="K141" i="32"/>
  <c r="K140" i="32"/>
  <c r="K139" i="32"/>
  <c r="K138" i="32"/>
  <c r="K137" i="32"/>
  <c r="K136" i="32"/>
  <c r="K135" i="32"/>
  <c r="K134" i="32"/>
  <c r="K133" i="32"/>
  <c r="K132" i="32"/>
  <c r="K131" i="32"/>
  <c r="K130" i="32"/>
  <c r="K129" i="32"/>
  <c r="K128" i="32"/>
  <c r="K127" i="32"/>
  <c r="K126" i="32"/>
  <c r="K125" i="32"/>
  <c r="K124" i="32"/>
  <c r="K123" i="32"/>
  <c r="K122" i="32"/>
  <c r="K120" i="32"/>
  <c r="K119" i="32"/>
  <c r="K118" i="32"/>
  <c r="K117" i="32"/>
  <c r="K116" i="32"/>
  <c r="K115" i="32"/>
  <c r="K114" i="32"/>
  <c r="K113" i="32"/>
  <c r="K112" i="32"/>
  <c r="K111" i="32"/>
  <c r="K110" i="32"/>
  <c r="K109" i="32"/>
  <c r="K108" i="32"/>
  <c r="K107" i="32"/>
  <c r="K106" i="32"/>
  <c r="K105" i="32"/>
  <c r="K104" i="32"/>
  <c r="K103" i="32"/>
  <c r="K102" i="32"/>
  <c r="K101" i="32"/>
  <c r="K100" i="32"/>
  <c r="K99" i="32"/>
  <c r="K98" i="32"/>
  <c r="K97" i="32"/>
  <c r="K96" i="32"/>
  <c r="K95" i="32"/>
  <c r="K94" i="32"/>
  <c r="K93" i="32"/>
  <c r="K92" i="32"/>
  <c r="K91" i="32"/>
  <c r="K90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69" i="32" l="1"/>
  <c r="H274" i="31" l="1"/>
  <c r="H273" i="31"/>
  <c r="H272" i="31"/>
  <c r="K272" i="31" s="1"/>
  <c r="H270" i="31"/>
  <c r="H269" i="31"/>
  <c r="K269" i="31" s="1"/>
  <c r="H268" i="31"/>
  <c r="J267" i="31"/>
  <c r="K267" i="31" s="1"/>
  <c r="N267" i="31" s="1"/>
  <c r="H267" i="31"/>
  <c r="K266" i="31"/>
  <c r="N266" i="31" s="1"/>
  <c r="H266" i="31"/>
  <c r="H265" i="31" s="1"/>
  <c r="K264" i="31"/>
  <c r="N264" i="31" s="1"/>
  <c r="H264" i="31"/>
  <c r="J263" i="31"/>
  <c r="J265" i="31" s="1"/>
  <c r="K265" i="31" s="1"/>
  <c r="N265" i="31" s="1"/>
  <c r="H263" i="31"/>
  <c r="K262" i="31"/>
  <c r="H262" i="31"/>
  <c r="K261" i="31"/>
  <c r="H261" i="31"/>
  <c r="K260" i="31"/>
  <c r="H260" i="31"/>
  <c r="K259" i="31"/>
  <c r="H259" i="31"/>
  <c r="K258" i="31"/>
  <c r="G258" i="31"/>
  <c r="H258" i="31" s="1"/>
  <c r="K257" i="31"/>
  <c r="H257" i="31"/>
  <c r="K256" i="31"/>
  <c r="H256" i="31"/>
  <c r="K255" i="31"/>
  <c r="N255" i="31" s="1"/>
  <c r="H253" i="31"/>
  <c r="G253" i="31"/>
  <c r="K252" i="31"/>
  <c r="H252" i="31"/>
  <c r="K251" i="31"/>
  <c r="H251" i="31"/>
  <c r="K250" i="31"/>
  <c r="H250" i="31"/>
  <c r="K249" i="31"/>
  <c r="H249" i="31"/>
  <c r="K248" i="31"/>
  <c r="G248" i="31"/>
  <c r="H248" i="31" s="1"/>
  <c r="K247" i="31"/>
  <c r="H247" i="31"/>
  <c r="K246" i="31"/>
  <c r="N246" i="31" s="1"/>
  <c r="H246" i="31"/>
  <c r="N245" i="31"/>
  <c r="K245" i="31"/>
  <c r="N244" i="31"/>
  <c r="H244" i="31"/>
  <c r="G244" i="31"/>
  <c r="N243" i="31"/>
  <c r="G243" i="31"/>
  <c r="H243" i="31" s="1"/>
  <c r="K242" i="31"/>
  <c r="N242" i="31" s="1"/>
  <c r="H242" i="31"/>
  <c r="K241" i="31"/>
  <c r="N241" i="31" s="1"/>
  <c r="H241" i="31"/>
  <c r="K240" i="31"/>
  <c r="N240" i="31" s="1"/>
  <c r="H240" i="31"/>
  <c r="K239" i="31"/>
  <c r="N239" i="31" s="1"/>
  <c r="H239" i="31"/>
  <c r="K238" i="31"/>
  <c r="N238" i="31" s="1"/>
  <c r="G238" i="31"/>
  <c r="H238" i="31" s="1"/>
  <c r="K237" i="31"/>
  <c r="N237" i="31" s="1"/>
  <c r="H237" i="31"/>
  <c r="K236" i="31"/>
  <c r="N236" i="31" s="1"/>
  <c r="H236" i="31"/>
  <c r="K235" i="31"/>
  <c r="N235" i="31" s="1"/>
  <c r="J235" i="31"/>
  <c r="G233" i="31"/>
  <c r="H233" i="31" s="1"/>
  <c r="K232" i="31"/>
  <c r="H232" i="31"/>
  <c r="H231" i="31" s="1"/>
  <c r="K231" i="31"/>
  <c r="N231" i="31" s="1"/>
  <c r="K230" i="31"/>
  <c r="N230" i="31" s="1"/>
  <c r="H230" i="31"/>
  <c r="H229" i="31" s="1"/>
  <c r="J229" i="31"/>
  <c r="K229" i="31" s="1"/>
  <c r="N229" i="31" s="1"/>
  <c r="K228" i="31"/>
  <c r="N228" i="31" s="1"/>
  <c r="H228" i="31"/>
  <c r="J227" i="31"/>
  <c r="K227" i="31" s="1"/>
  <c r="N227" i="31" s="1"/>
  <c r="H227" i="31"/>
  <c r="N226" i="31"/>
  <c r="K226" i="31"/>
  <c r="H226" i="31"/>
  <c r="H225" i="31" s="1"/>
  <c r="J225" i="31"/>
  <c r="K225" i="31" s="1"/>
  <c r="N225" i="31" s="1"/>
  <c r="K224" i="31"/>
  <c r="N224" i="31" s="1"/>
  <c r="H224" i="31"/>
  <c r="H223" i="31" s="1"/>
  <c r="J223" i="31"/>
  <c r="K223" i="31" s="1"/>
  <c r="N223" i="31" s="1"/>
  <c r="K222" i="31"/>
  <c r="H222" i="31"/>
  <c r="N221" i="31"/>
  <c r="K221" i="31"/>
  <c r="H221" i="31"/>
  <c r="K220" i="31"/>
  <c r="N219" i="31"/>
  <c r="K219" i="31"/>
  <c r="K218" i="31"/>
  <c r="K217" i="31"/>
  <c r="N217" i="31" s="1"/>
  <c r="K216" i="31"/>
  <c r="K215" i="31"/>
  <c r="N215" i="31" s="1"/>
  <c r="K214" i="31"/>
  <c r="G214" i="31"/>
  <c r="G220" i="31" s="1"/>
  <c r="H220" i="31" s="1"/>
  <c r="H219" i="31" s="1"/>
  <c r="K213" i="31"/>
  <c r="N213" i="31" s="1"/>
  <c r="K211" i="31"/>
  <c r="H211" i="31"/>
  <c r="H210" i="31" s="1"/>
  <c r="G211" i="31"/>
  <c r="K209" i="31"/>
  <c r="G209" i="31"/>
  <c r="H209" i="31" s="1"/>
  <c r="H208" i="31" s="1"/>
  <c r="J207" i="31"/>
  <c r="K207" i="31" s="1"/>
  <c r="G207" i="31"/>
  <c r="H207" i="31" s="1"/>
  <c r="H206" i="31" s="1"/>
  <c r="J206" i="31"/>
  <c r="J208" i="31" s="1"/>
  <c r="K205" i="31"/>
  <c r="G205" i="31"/>
  <c r="H205" i="31" s="1"/>
  <c r="H204" i="31" s="1"/>
  <c r="K203" i="31"/>
  <c r="G203" i="31"/>
  <c r="H203" i="31" s="1"/>
  <c r="H202" i="31" s="1"/>
  <c r="J202" i="31"/>
  <c r="J204" i="31" s="1"/>
  <c r="K204" i="31" s="1"/>
  <c r="K201" i="31"/>
  <c r="J201" i="31"/>
  <c r="H201" i="31"/>
  <c r="G201" i="31"/>
  <c r="K200" i="31"/>
  <c r="J200" i="31"/>
  <c r="H200" i="31"/>
  <c r="K199" i="31"/>
  <c r="M199" i="31" s="1"/>
  <c r="G199" i="31"/>
  <c r="H199" i="31" s="1"/>
  <c r="H198" i="31" s="1"/>
  <c r="M197" i="31"/>
  <c r="K197" i="31"/>
  <c r="G197" i="31"/>
  <c r="H197" i="31" s="1"/>
  <c r="H196" i="31" s="1"/>
  <c r="H186" i="31" s="1"/>
  <c r="H185" i="31" s="1"/>
  <c r="H184" i="31" s="1"/>
  <c r="H183" i="31" s="1"/>
  <c r="J195" i="31"/>
  <c r="K195" i="31" s="1"/>
  <c r="G195" i="31"/>
  <c r="H195" i="31" s="1"/>
  <c r="H194" i="31" s="1"/>
  <c r="J194" i="31"/>
  <c r="J196" i="31" s="1"/>
  <c r="K193" i="31"/>
  <c r="G193" i="31"/>
  <c r="H193" i="31" s="1"/>
  <c r="H192" i="31" s="1"/>
  <c r="K191" i="31"/>
  <c r="J189" i="31"/>
  <c r="K189" i="31" s="1"/>
  <c r="G189" i="31"/>
  <c r="H189" i="31" s="1"/>
  <c r="H188" i="31" s="1"/>
  <c r="J188" i="31"/>
  <c r="N187" i="31"/>
  <c r="K186" i="31"/>
  <c r="K185" i="31"/>
  <c r="K184" i="31"/>
  <c r="K183" i="31"/>
  <c r="K182" i="31"/>
  <c r="H182" i="31"/>
  <c r="K181" i="31"/>
  <c r="H181" i="31"/>
  <c r="H180" i="31" s="1"/>
  <c r="H179" i="31" s="1"/>
  <c r="K180" i="31"/>
  <c r="K179" i="31"/>
  <c r="K177" i="31"/>
  <c r="K176" i="31"/>
  <c r="M176" i="31" s="1"/>
  <c r="M175" i="31"/>
  <c r="K175" i="31"/>
  <c r="K174" i="31"/>
  <c r="M174" i="31" s="1"/>
  <c r="K173" i="31"/>
  <c r="K172" i="31"/>
  <c r="M172" i="31" s="1"/>
  <c r="G172" i="31"/>
  <c r="G191" i="31" s="1"/>
  <c r="H191" i="31" s="1"/>
  <c r="H190" i="31" s="1"/>
  <c r="K171" i="31"/>
  <c r="M171" i="31" s="1"/>
  <c r="K169" i="31"/>
  <c r="H169" i="31"/>
  <c r="K168" i="31"/>
  <c r="K167" i="31"/>
  <c r="H167" i="31"/>
  <c r="K166" i="31"/>
  <c r="K165" i="31"/>
  <c r="H165" i="31"/>
  <c r="K164" i="31"/>
  <c r="H164" i="31"/>
  <c r="K163" i="31"/>
  <c r="H163" i="31"/>
  <c r="G163" i="31"/>
  <c r="J162" i="31"/>
  <c r="K162" i="31" s="1"/>
  <c r="N162" i="31" s="1"/>
  <c r="K161" i="31"/>
  <c r="N161" i="31" s="1"/>
  <c r="G161" i="31"/>
  <c r="H161" i="31" s="1"/>
  <c r="H160" i="31" s="1"/>
  <c r="J160" i="31"/>
  <c r="K160" i="31" s="1"/>
  <c r="N160" i="31" s="1"/>
  <c r="K159" i="31"/>
  <c r="K158" i="31"/>
  <c r="N158" i="31" s="1"/>
  <c r="K157" i="31"/>
  <c r="N157" i="31" s="1"/>
  <c r="N156" i="31"/>
  <c r="K156" i="31"/>
  <c r="H156" i="31"/>
  <c r="G156" i="31"/>
  <c r="N155" i="31"/>
  <c r="K155" i="31"/>
  <c r="G155" i="31"/>
  <c r="H155" i="31" s="1"/>
  <c r="N154" i="31"/>
  <c r="K154" i="31"/>
  <c r="H154" i="31"/>
  <c r="G154" i="31"/>
  <c r="J153" i="31"/>
  <c r="K153" i="31" s="1"/>
  <c r="N153" i="31" s="1"/>
  <c r="K152" i="31"/>
  <c r="N152" i="31" s="1"/>
  <c r="K151" i="31"/>
  <c r="N151" i="31" s="1"/>
  <c r="G151" i="31"/>
  <c r="H151" i="31" s="1"/>
  <c r="K150" i="31"/>
  <c r="N150" i="31" s="1"/>
  <c r="G150" i="31"/>
  <c r="H150" i="31" s="1"/>
  <c r="K149" i="31"/>
  <c r="N149" i="31" s="1"/>
  <c r="G149" i="31"/>
  <c r="H149" i="31" s="1"/>
  <c r="J148" i="31"/>
  <c r="K148" i="31" s="1"/>
  <c r="N148" i="31" s="1"/>
  <c r="N147" i="31"/>
  <c r="K147" i="31"/>
  <c r="K146" i="31"/>
  <c r="N146" i="31" s="1"/>
  <c r="J145" i="31"/>
  <c r="K145" i="31" s="1"/>
  <c r="N145" i="31" s="1"/>
  <c r="H145" i="31"/>
  <c r="K144" i="31"/>
  <c r="N144" i="31" s="1"/>
  <c r="K143" i="31"/>
  <c r="N143" i="31" s="1"/>
  <c r="G143" i="31"/>
  <c r="H143" i="31" s="1"/>
  <c r="K142" i="31"/>
  <c r="N142" i="31" s="1"/>
  <c r="G142" i="31"/>
  <c r="H142" i="31" s="1"/>
  <c r="K141" i="31"/>
  <c r="N141" i="31" s="1"/>
  <c r="G141" i="31"/>
  <c r="H141" i="31" s="1"/>
  <c r="J140" i="31"/>
  <c r="K140" i="31" s="1"/>
  <c r="N140" i="31" s="1"/>
  <c r="K139" i="31"/>
  <c r="K138" i="31"/>
  <c r="G138" i="31"/>
  <c r="H138" i="31" s="1"/>
  <c r="K137" i="31"/>
  <c r="G137" i="31"/>
  <c r="H137" i="31" s="1"/>
  <c r="K136" i="31"/>
  <c r="G136" i="31"/>
  <c r="H136" i="31" s="1"/>
  <c r="K135" i="31"/>
  <c r="N135" i="31" s="1"/>
  <c r="K134" i="31"/>
  <c r="K133" i="31"/>
  <c r="N133" i="31" s="1"/>
  <c r="K132" i="31"/>
  <c r="G132" i="31"/>
  <c r="H132" i="31" s="1"/>
  <c r="H131" i="31" s="1"/>
  <c r="K131" i="31"/>
  <c r="N131" i="31" s="1"/>
  <c r="K130" i="31"/>
  <c r="K129" i="31"/>
  <c r="K128" i="31"/>
  <c r="H128" i="31"/>
  <c r="K127" i="31"/>
  <c r="H127" i="31"/>
  <c r="K126" i="31"/>
  <c r="N126" i="31" s="1"/>
  <c r="K125" i="31"/>
  <c r="K124" i="31"/>
  <c r="K123" i="31"/>
  <c r="H123" i="31"/>
  <c r="K122" i="31"/>
  <c r="H122" i="31"/>
  <c r="K121" i="31"/>
  <c r="N121" i="31" s="1"/>
  <c r="K119" i="31"/>
  <c r="G119" i="31"/>
  <c r="H119" i="31" s="1"/>
  <c r="H118" i="31" s="1"/>
  <c r="J118" i="31"/>
  <c r="K118" i="31" s="1"/>
  <c r="K117" i="31"/>
  <c r="G117" i="31"/>
  <c r="H117" i="31" s="1"/>
  <c r="H116" i="31" s="1"/>
  <c r="J116" i="31"/>
  <c r="K116" i="31" s="1"/>
  <c r="K115" i="31"/>
  <c r="K114" i="31"/>
  <c r="N114" i="31" s="1"/>
  <c r="K113" i="31"/>
  <c r="K112" i="31"/>
  <c r="N112" i="31" s="1"/>
  <c r="K111" i="31"/>
  <c r="H111" i="31"/>
  <c r="K110" i="31"/>
  <c r="G110" i="31"/>
  <c r="H110" i="31" s="1"/>
  <c r="H109" i="31" s="1"/>
  <c r="K109" i="31"/>
  <c r="N109" i="31" s="1"/>
  <c r="K108" i="31"/>
  <c r="K107" i="31"/>
  <c r="K106" i="31"/>
  <c r="H106" i="31"/>
  <c r="K105" i="31"/>
  <c r="H105" i="31"/>
  <c r="K104" i="31"/>
  <c r="N104" i="31" s="1"/>
  <c r="K103" i="31"/>
  <c r="K102" i="31"/>
  <c r="K101" i="31"/>
  <c r="H101" i="31"/>
  <c r="K100" i="31"/>
  <c r="H100" i="31"/>
  <c r="K99" i="31"/>
  <c r="N99" i="31" s="1"/>
  <c r="K98" i="31"/>
  <c r="K97" i="31"/>
  <c r="K96" i="31"/>
  <c r="H96" i="31"/>
  <c r="K95" i="31"/>
  <c r="H95" i="31"/>
  <c r="K94" i="31"/>
  <c r="N94" i="31" s="1"/>
  <c r="K93" i="31"/>
  <c r="K92" i="31"/>
  <c r="K91" i="31"/>
  <c r="H91" i="31"/>
  <c r="K90" i="31"/>
  <c r="H90" i="31"/>
  <c r="K89" i="31"/>
  <c r="N89" i="31" s="1"/>
  <c r="K87" i="31"/>
  <c r="N87" i="31" s="1"/>
  <c r="N86" i="31"/>
  <c r="K86" i="31"/>
  <c r="H86" i="31"/>
  <c r="K85" i="31"/>
  <c r="N85" i="31" s="1"/>
  <c r="H85" i="31"/>
  <c r="K84" i="31"/>
  <c r="N84" i="31" s="1"/>
  <c r="H84" i="31"/>
  <c r="K83" i="31"/>
  <c r="N83" i="31" s="1"/>
  <c r="G83" i="31"/>
  <c r="H83" i="31" s="1"/>
  <c r="K82" i="31"/>
  <c r="N82" i="31" s="1"/>
  <c r="H82" i="31"/>
  <c r="N81" i="31"/>
  <c r="K81" i="31"/>
  <c r="H81" i="31"/>
  <c r="K80" i="31"/>
  <c r="N80" i="31" s="1"/>
  <c r="G80" i="31"/>
  <c r="H80" i="31" s="1"/>
  <c r="J79" i="31"/>
  <c r="K79" i="31" s="1"/>
  <c r="N79" i="31" s="1"/>
  <c r="K78" i="31"/>
  <c r="N78" i="31" s="1"/>
  <c r="K77" i="31"/>
  <c r="N77" i="31" s="1"/>
  <c r="H77" i="31"/>
  <c r="K76" i="31"/>
  <c r="N76" i="31" s="1"/>
  <c r="H76" i="31"/>
  <c r="G76" i="31"/>
  <c r="K75" i="31"/>
  <c r="N75" i="31" s="1"/>
  <c r="H75" i="31"/>
  <c r="K74" i="31"/>
  <c r="N74" i="31" s="1"/>
  <c r="H74" i="31"/>
  <c r="K73" i="31"/>
  <c r="N73" i="31" s="1"/>
  <c r="G73" i="31"/>
  <c r="H73" i="31" s="1"/>
  <c r="J72" i="31"/>
  <c r="K72" i="31" s="1"/>
  <c r="N72" i="31" s="1"/>
  <c r="K70" i="31"/>
  <c r="G70" i="31"/>
  <c r="H70" i="31" s="1"/>
  <c r="K69" i="31"/>
  <c r="K68" i="31"/>
  <c r="N68" i="31" s="1"/>
  <c r="K67" i="31"/>
  <c r="H67" i="31"/>
  <c r="K66" i="31"/>
  <c r="G66" i="31"/>
  <c r="H66" i="31" s="1"/>
  <c r="H65" i="31" s="1"/>
  <c r="K65" i="31"/>
  <c r="N65" i="31" s="1"/>
  <c r="J65" i="31"/>
  <c r="K64" i="31"/>
  <c r="K63" i="31"/>
  <c r="H63" i="31"/>
  <c r="K62" i="31"/>
  <c r="H62" i="31"/>
  <c r="K61" i="31"/>
  <c r="K60" i="31"/>
  <c r="N60" i="31" s="1"/>
  <c r="K59" i="31"/>
  <c r="K58" i="31"/>
  <c r="H58" i="31"/>
  <c r="K57" i="31"/>
  <c r="H57" i="31"/>
  <c r="K56" i="31"/>
  <c r="K55" i="31"/>
  <c r="N55" i="31" s="1"/>
  <c r="K54" i="31"/>
  <c r="G54" i="31"/>
  <c r="H54" i="31" s="1"/>
  <c r="H53" i="31" s="1"/>
  <c r="K53" i="31"/>
  <c r="N53" i="31" s="1"/>
  <c r="K52" i="31"/>
  <c r="N52" i="31" s="1"/>
  <c r="K51" i="31"/>
  <c r="N51" i="31" s="1"/>
  <c r="H51" i="31"/>
  <c r="K50" i="31"/>
  <c r="N50" i="31" s="1"/>
  <c r="J50" i="31"/>
  <c r="K49" i="31"/>
  <c r="G49" i="31"/>
  <c r="H49" i="31" s="1"/>
  <c r="K48" i="31"/>
  <c r="G48" i="31"/>
  <c r="G59" i="31" s="1"/>
  <c r="H59" i="31" s="1"/>
  <c r="K47" i="31"/>
  <c r="N47" i="31" s="1"/>
  <c r="H46" i="31"/>
  <c r="G46" i="31"/>
  <c r="G254" i="31" s="1"/>
  <c r="H254" i="31" s="1"/>
  <c r="G45" i="31"/>
  <c r="H45" i="31" s="1"/>
  <c r="K44" i="31"/>
  <c r="H44" i="31"/>
  <c r="K43" i="31"/>
  <c r="G43" i="31"/>
  <c r="H43" i="31" s="1"/>
  <c r="K42" i="31"/>
  <c r="H42" i="31"/>
  <c r="K41" i="31"/>
  <c r="H41" i="31"/>
  <c r="K40" i="31"/>
  <c r="N40" i="31" s="1"/>
  <c r="K39" i="31"/>
  <c r="N39" i="31" s="1"/>
  <c r="N38" i="31"/>
  <c r="K38" i="31"/>
  <c r="H38" i="31"/>
  <c r="K37" i="31"/>
  <c r="N37" i="31" s="1"/>
  <c r="H37" i="31"/>
  <c r="K36" i="31"/>
  <c r="N36" i="31" s="1"/>
  <c r="H36" i="31"/>
  <c r="K35" i="31"/>
  <c r="N35" i="31" s="1"/>
  <c r="H35" i="31"/>
  <c r="H34" i="31" s="1"/>
  <c r="J34" i="31"/>
  <c r="K34" i="31" s="1"/>
  <c r="N34" i="31" s="1"/>
  <c r="K33" i="31"/>
  <c r="G33" i="31"/>
  <c r="H33" i="31" s="1"/>
  <c r="H32" i="31" s="1"/>
  <c r="J32" i="31"/>
  <c r="I32" i="31"/>
  <c r="K31" i="31"/>
  <c r="G31" i="31"/>
  <c r="H31" i="31" s="1"/>
  <c r="H30" i="31" s="1"/>
  <c r="J30" i="31"/>
  <c r="I30" i="31"/>
  <c r="J29" i="31"/>
  <c r="K29" i="31" s="1"/>
  <c r="N29" i="31" s="1"/>
  <c r="K28" i="31"/>
  <c r="K27" i="31"/>
  <c r="H27" i="31"/>
  <c r="K26" i="31"/>
  <c r="H26" i="31"/>
  <c r="K25" i="31"/>
  <c r="H25" i="31"/>
  <c r="K24" i="31"/>
  <c r="H24" i="31"/>
  <c r="K23" i="31"/>
  <c r="H23" i="31"/>
  <c r="K22" i="31"/>
  <c r="H22" i="31"/>
  <c r="H21" i="31" s="1"/>
  <c r="I21" i="31"/>
  <c r="K21" i="31" s="1"/>
  <c r="K20" i="31"/>
  <c r="H255" i="31" l="1"/>
  <c r="N199" i="31"/>
  <c r="H40" i="31"/>
  <c r="N211" i="31"/>
  <c r="K30" i="31"/>
  <c r="N30" i="31" s="1"/>
  <c r="M177" i="31"/>
  <c r="N177" i="31" s="1"/>
  <c r="N197" i="31"/>
  <c r="M211" i="31"/>
  <c r="H162" i="31"/>
  <c r="M173" i="31"/>
  <c r="N173" i="31" s="1"/>
  <c r="M209" i="31"/>
  <c r="N209" i="31" s="1"/>
  <c r="H235" i="31"/>
  <c r="N171" i="31"/>
  <c r="H55" i="31"/>
  <c r="K32" i="31"/>
  <c r="N32" i="31" s="1"/>
  <c r="H214" i="31"/>
  <c r="H213" i="31" s="1"/>
  <c r="L21" i="31"/>
  <c r="N21" i="31"/>
  <c r="L30" i="31"/>
  <c r="L32" i="31"/>
  <c r="M20" i="31"/>
  <c r="N20" i="31" s="1"/>
  <c r="L29" i="31"/>
  <c r="H48" i="31"/>
  <c r="H47" i="31" s="1"/>
  <c r="G52" i="31"/>
  <c r="H52" i="31" s="1"/>
  <c r="H50" i="31" s="1"/>
  <c r="G69" i="31"/>
  <c r="H69" i="31" s="1"/>
  <c r="H68" i="31" s="1"/>
  <c r="G157" i="31"/>
  <c r="H157" i="31" s="1"/>
  <c r="H153" i="31" s="1"/>
  <c r="G152" i="31"/>
  <c r="H152" i="31" s="1"/>
  <c r="H148" i="31" s="1"/>
  <c r="G139" i="31"/>
  <c r="H139" i="31" s="1"/>
  <c r="H135" i="31" s="1"/>
  <c r="G125" i="31"/>
  <c r="H125" i="31" s="1"/>
  <c r="H121" i="31" s="1"/>
  <c r="G103" i="31"/>
  <c r="H103" i="31" s="1"/>
  <c r="G93" i="31"/>
  <c r="H93" i="31" s="1"/>
  <c r="H89" i="31" s="1"/>
  <c r="G87" i="31"/>
  <c r="H87" i="31" s="1"/>
  <c r="H79" i="31" s="1"/>
  <c r="G159" i="31"/>
  <c r="H159" i="31" s="1"/>
  <c r="H158" i="31" s="1"/>
  <c r="G147" i="31"/>
  <c r="G144" i="31"/>
  <c r="H144" i="31" s="1"/>
  <c r="H140" i="31" s="1"/>
  <c r="G134" i="31"/>
  <c r="H134" i="31" s="1"/>
  <c r="H133" i="31" s="1"/>
  <c r="G130" i="31"/>
  <c r="H130" i="31" s="1"/>
  <c r="H126" i="31" s="1"/>
  <c r="G108" i="31"/>
  <c r="H108" i="31" s="1"/>
  <c r="H104" i="31" s="1"/>
  <c r="G98" i="31"/>
  <c r="H98" i="31" s="1"/>
  <c r="H94" i="31" s="1"/>
  <c r="G78" i="31"/>
  <c r="H78" i="31" s="1"/>
  <c r="G64" i="31"/>
  <c r="H64" i="31" s="1"/>
  <c r="H60" i="31" s="1"/>
  <c r="H72" i="31"/>
  <c r="H99" i="31"/>
  <c r="G174" i="31"/>
  <c r="H174" i="31" s="1"/>
  <c r="H173" i="31" s="1"/>
  <c r="G178" i="31"/>
  <c r="H178" i="31" s="1"/>
  <c r="H177" i="31" s="1"/>
  <c r="J190" i="31"/>
  <c r="K188" i="31"/>
  <c r="N188" i="31" s="1"/>
  <c r="K208" i="31"/>
  <c r="J210" i="31"/>
  <c r="K210" i="31" s="1"/>
  <c r="M207" i="31"/>
  <c r="N207" i="31" s="1"/>
  <c r="H172" i="31"/>
  <c r="H171" i="31" s="1"/>
  <c r="N175" i="31"/>
  <c r="G176" i="31"/>
  <c r="H176" i="31" s="1"/>
  <c r="H175" i="31" s="1"/>
  <c r="M189" i="31"/>
  <c r="N189" i="31" s="1"/>
  <c r="K196" i="31"/>
  <c r="J198" i="31"/>
  <c r="K198" i="31" s="1"/>
  <c r="M195" i="31"/>
  <c r="N195" i="31"/>
  <c r="M204" i="31"/>
  <c r="N204" i="31"/>
  <c r="H245" i="31"/>
  <c r="M191" i="31"/>
  <c r="N191" i="31" s="1"/>
  <c r="M193" i="31"/>
  <c r="N193" i="31" s="1"/>
  <c r="K194" i="31"/>
  <c r="M200" i="31"/>
  <c r="N200" i="31" s="1"/>
  <c r="M201" i="31"/>
  <c r="N201" i="31" s="1"/>
  <c r="K202" i="31"/>
  <c r="M203" i="31"/>
  <c r="N203" i="31" s="1"/>
  <c r="M205" i="31"/>
  <c r="N205" i="31" s="1"/>
  <c r="K206" i="31"/>
  <c r="G216" i="31"/>
  <c r="H216" i="31" s="1"/>
  <c r="H215" i="31" s="1"/>
  <c r="G218" i="31"/>
  <c r="H218" i="31" s="1"/>
  <c r="H217" i="31" s="1"/>
  <c r="K263" i="31"/>
  <c r="N263" i="31" s="1"/>
  <c r="M206" i="31" l="1"/>
  <c r="N206" i="31" s="1"/>
  <c r="M194" i="31"/>
  <c r="N194" i="31" s="1"/>
  <c r="M198" i="31"/>
  <c r="N198" i="31" s="1"/>
  <c r="M208" i="31"/>
  <c r="N208" i="31" s="1"/>
  <c r="J192" i="31"/>
  <c r="K192" i="31" s="1"/>
  <c r="K190" i="31"/>
  <c r="M202" i="31"/>
  <c r="N202" i="31" s="1"/>
  <c r="N196" i="31"/>
  <c r="M196" i="31"/>
  <c r="N210" i="31"/>
  <c r="M210" i="31"/>
  <c r="M190" i="31" l="1"/>
  <c r="N190" i="31" s="1"/>
  <c r="M192" i="31"/>
  <c r="N192" i="31" s="1"/>
  <c r="J38" i="30" l="1"/>
  <c r="L38" i="30" s="1"/>
  <c r="J37" i="30"/>
  <c r="L37" i="30" s="1"/>
  <c r="J36" i="30"/>
  <c r="L36" i="30" s="1"/>
  <c r="J35" i="30"/>
  <c r="L35" i="30" s="1"/>
  <c r="J34" i="30"/>
  <c r="J33" i="30"/>
  <c r="J32" i="30"/>
  <c r="J31" i="30"/>
  <c r="J30" i="30"/>
  <c r="J29" i="30"/>
  <c r="J28" i="30"/>
  <c r="J27" i="30"/>
  <c r="J26" i="30"/>
  <c r="J25" i="30"/>
  <c r="J24" i="30"/>
  <c r="L24" i="30" s="1"/>
  <c r="J23" i="30"/>
  <c r="L23" i="30" s="1"/>
  <c r="L22" i="30"/>
  <c r="J22" i="30"/>
  <c r="J21" i="30"/>
  <c r="L21" i="30" s="1"/>
  <c r="E21" i="30"/>
  <c r="D21" i="30"/>
  <c r="F21" i="30" s="1"/>
  <c r="J20" i="30"/>
  <c r="L20" i="30" s="1"/>
  <c r="E20" i="30"/>
  <c r="D20" i="30"/>
  <c r="F20" i="30" s="1"/>
  <c r="J19" i="30"/>
  <c r="E19" i="30"/>
  <c r="D19" i="30"/>
  <c r="F19" i="30" s="1"/>
  <c r="J18" i="30"/>
  <c r="L18" i="30" s="1"/>
  <c r="J17" i="30"/>
  <c r="P18" i="30" s="1"/>
  <c r="I79" i="29"/>
  <c r="I78" i="29"/>
  <c r="I77" i="29"/>
  <c r="I76" i="29"/>
  <c r="I74" i="29"/>
  <c r="I73" i="29"/>
  <c r="I72" i="29"/>
  <c r="I71" i="29"/>
  <c r="I69" i="29"/>
  <c r="I68" i="29"/>
  <c r="I67" i="29"/>
  <c r="I66" i="29"/>
  <c r="I65" i="29"/>
  <c r="I64" i="29"/>
  <c r="I63" i="29"/>
  <c r="I59" i="29"/>
  <c r="I58" i="29"/>
  <c r="I57" i="29"/>
  <c r="I56" i="29"/>
  <c r="I54" i="29"/>
  <c r="I53" i="29"/>
  <c r="I52" i="29"/>
  <c r="I49" i="29"/>
  <c r="I48" i="29"/>
  <c r="I47" i="29"/>
  <c r="I46" i="29"/>
  <c r="I43" i="29"/>
  <c r="I41" i="29"/>
  <c r="I39" i="29"/>
  <c r="I34" i="29"/>
  <c r="I32" i="29"/>
  <c r="I31" i="29"/>
  <c r="I30" i="29"/>
  <c r="I29" i="29"/>
  <c r="I28" i="29"/>
  <c r="I26" i="29"/>
  <c r="I25" i="29"/>
  <c r="I24" i="29"/>
  <c r="I22" i="29"/>
  <c r="I21" i="29"/>
  <c r="I20" i="29"/>
  <c r="I19" i="29"/>
  <c r="I17" i="29"/>
  <c r="I16" i="29"/>
  <c r="K19" i="30" l="1"/>
  <c r="L19" i="30" s="1"/>
  <c r="L17" i="30"/>
  <c r="I78" i="28"/>
  <c r="E78" i="28"/>
  <c r="D78" i="28"/>
  <c r="F78" i="28" s="1"/>
  <c r="I77" i="28"/>
  <c r="E77" i="28"/>
  <c r="D77" i="28"/>
  <c r="I76" i="28"/>
  <c r="E76" i="28"/>
  <c r="D76" i="28"/>
  <c r="F76" i="28" s="1"/>
  <c r="I75" i="28"/>
  <c r="E75" i="28"/>
  <c r="D75" i="28"/>
  <c r="I73" i="28"/>
  <c r="K58" i="28" s="1"/>
  <c r="E73" i="28"/>
  <c r="D73" i="28"/>
  <c r="F73" i="28" s="1"/>
  <c r="I72" i="28"/>
  <c r="E72" i="28"/>
  <c r="D72" i="28"/>
  <c r="I71" i="28"/>
  <c r="K56" i="28" s="1"/>
  <c r="E71" i="28"/>
  <c r="D71" i="28"/>
  <c r="F71" i="28" s="1"/>
  <c r="I70" i="28"/>
  <c r="E70" i="28"/>
  <c r="D70" i="28"/>
  <c r="I68" i="28"/>
  <c r="E68" i="28"/>
  <c r="D68" i="28"/>
  <c r="F68" i="28" s="1"/>
  <c r="I67" i="28"/>
  <c r="E67" i="28"/>
  <c r="D67" i="28"/>
  <c r="I66" i="28"/>
  <c r="E66" i="28"/>
  <c r="D66" i="28"/>
  <c r="F66" i="28" s="1"/>
  <c r="I65" i="28"/>
  <c r="E65" i="28"/>
  <c r="D65" i="28"/>
  <c r="I61" i="28"/>
  <c r="E61" i="28"/>
  <c r="D61" i="28"/>
  <c r="F61" i="28" s="1"/>
  <c r="K60" i="28"/>
  <c r="I60" i="28"/>
  <c r="E60" i="28"/>
  <c r="D60" i="28"/>
  <c r="F60" i="28" s="1"/>
  <c r="I59" i="28"/>
  <c r="E59" i="28"/>
  <c r="D59" i="28"/>
  <c r="I58" i="28"/>
  <c r="E58" i="28"/>
  <c r="D58" i="28"/>
  <c r="I57" i="28"/>
  <c r="K53" i="28" s="1"/>
  <c r="E57" i="28"/>
  <c r="D57" i="28"/>
  <c r="F57" i="28" s="1"/>
  <c r="I56" i="28"/>
  <c r="E56" i="28"/>
  <c r="D56" i="28"/>
  <c r="F56" i="28" s="1"/>
  <c r="K55" i="28"/>
  <c r="K54" i="28"/>
  <c r="I54" i="28"/>
  <c r="K50" i="28" s="1"/>
  <c r="E54" i="28"/>
  <c r="D54" i="28"/>
  <c r="I53" i="28"/>
  <c r="E53" i="28"/>
  <c r="D53" i="28"/>
  <c r="K52" i="28"/>
  <c r="I52" i="28"/>
  <c r="E52" i="28"/>
  <c r="D52" i="28"/>
  <c r="I49" i="28"/>
  <c r="E49" i="28"/>
  <c r="D49" i="28"/>
  <c r="I48" i="28"/>
  <c r="E48" i="28"/>
  <c r="D48" i="28"/>
  <c r="I47" i="28"/>
  <c r="E47" i="28"/>
  <c r="D47" i="28"/>
  <c r="K46" i="28"/>
  <c r="I46" i="28"/>
  <c r="E46" i="28"/>
  <c r="D46" i="28"/>
  <c r="F46" i="28" s="1"/>
  <c r="K45" i="28"/>
  <c r="K44" i="28"/>
  <c r="I43" i="28"/>
  <c r="K43" i="28" s="1"/>
  <c r="E43" i="28"/>
  <c r="D43" i="28"/>
  <c r="F43" i="28" s="1"/>
  <c r="I38" i="28"/>
  <c r="K38" i="28" s="1"/>
  <c r="E38" i="28"/>
  <c r="D38" i="28"/>
  <c r="K37" i="28"/>
  <c r="I37" i="28"/>
  <c r="E37" i="28"/>
  <c r="D37" i="28"/>
  <c r="I35" i="28"/>
  <c r="K35" i="28" s="1"/>
  <c r="E35" i="28"/>
  <c r="D35" i="28"/>
  <c r="F35" i="28" s="1"/>
  <c r="I33" i="28"/>
  <c r="K33" i="28" s="1"/>
  <c r="E33" i="28"/>
  <c r="D33" i="28"/>
  <c r="I32" i="28"/>
  <c r="K32" i="28" s="1"/>
  <c r="E32" i="28"/>
  <c r="D32" i="28"/>
  <c r="F32" i="28" s="1"/>
  <c r="I31" i="28"/>
  <c r="K31" i="28" s="1"/>
  <c r="E31" i="28"/>
  <c r="D31" i="28"/>
  <c r="I30" i="28"/>
  <c r="K30" i="28" s="1"/>
  <c r="E30" i="28"/>
  <c r="D30" i="28"/>
  <c r="I29" i="28"/>
  <c r="K29" i="28" s="1"/>
  <c r="E29" i="28"/>
  <c r="D29" i="28"/>
  <c r="F29" i="28" s="1"/>
  <c r="I27" i="28"/>
  <c r="K27" i="28" s="1"/>
  <c r="E27" i="28"/>
  <c r="D27" i="28"/>
  <c r="K26" i="28"/>
  <c r="I26" i="28"/>
  <c r="E26" i="28"/>
  <c r="D26" i="28"/>
  <c r="I25" i="28"/>
  <c r="K25" i="28" s="1"/>
  <c r="E25" i="28"/>
  <c r="D25" i="28"/>
  <c r="I23" i="28"/>
  <c r="K23" i="28" s="1"/>
  <c r="E23" i="28"/>
  <c r="D23" i="28"/>
  <c r="I22" i="28"/>
  <c r="K22" i="28" s="1"/>
  <c r="E22" i="28"/>
  <c r="D22" i="28"/>
  <c r="F22" i="28" s="1"/>
  <c r="I21" i="28"/>
  <c r="K21" i="28" s="1"/>
  <c r="E21" i="28"/>
  <c r="D21" i="28"/>
  <c r="I20" i="28"/>
  <c r="K20" i="28" s="1"/>
  <c r="E20" i="28"/>
  <c r="D20" i="28"/>
  <c r="I18" i="28"/>
  <c r="K18" i="28" s="1"/>
  <c r="I17" i="28"/>
  <c r="K17" i="28" s="1"/>
  <c r="F26" i="28" l="1"/>
  <c r="F49" i="28"/>
  <c r="F23" i="28"/>
  <c r="F37" i="28"/>
  <c r="F47" i="28"/>
  <c r="F21" i="28"/>
  <c r="F27" i="28"/>
  <c r="F33" i="28"/>
  <c r="F52" i="28"/>
  <c r="F31" i="28"/>
  <c r="F38" i="28"/>
  <c r="F53" i="28"/>
  <c r="F54" i="28"/>
  <c r="F58" i="28"/>
  <c r="F59" i="28"/>
  <c r="F65" i="28"/>
  <c r="F67" i="28"/>
  <c r="F70" i="28"/>
  <c r="F72" i="28"/>
  <c r="F75" i="28"/>
  <c r="F77" i="28"/>
  <c r="F20" i="28"/>
  <c r="F25" i="28"/>
  <c r="F30" i="28"/>
  <c r="F48" i="28"/>
  <c r="O18" i="28"/>
  <c r="I78" i="27" l="1"/>
  <c r="I77" i="27"/>
  <c r="I76" i="27"/>
  <c r="I75" i="27"/>
  <c r="I73" i="27"/>
  <c r="I72" i="27"/>
  <c r="I71" i="27"/>
  <c r="I70" i="27"/>
  <c r="I68" i="27"/>
  <c r="I67" i="27"/>
  <c r="I66" i="27"/>
  <c r="I65" i="27"/>
  <c r="I64" i="27"/>
  <c r="I63" i="27"/>
  <c r="I59" i="27"/>
  <c r="I58" i="27"/>
  <c r="I57" i="27"/>
  <c r="I56" i="27"/>
  <c r="I54" i="27"/>
  <c r="I53" i="27"/>
  <c r="I52" i="27"/>
  <c r="I49" i="27"/>
  <c r="I48" i="27"/>
  <c r="I47" i="27"/>
  <c r="I46" i="27"/>
  <c r="I43" i="27"/>
  <c r="I41" i="27"/>
  <c r="I39" i="27"/>
  <c r="I35" i="27"/>
  <c r="I33" i="27"/>
  <c r="I32" i="27"/>
  <c r="I31" i="27"/>
  <c r="I30" i="27"/>
  <c r="I29" i="27"/>
  <c r="I27" i="27"/>
  <c r="I26" i="27"/>
  <c r="I25" i="27"/>
  <c r="I23" i="27"/>
  <c r="I22" i="27"/>
  <c r="I21" i="27"/>
  <c r="I20" i="27"/>
  <c r="I18" i="27"/>
  <c r="I17" i="27"/>
  <c r="E16" i="26" l="1"/>
  <c r="F16" i="26" s="1"/>
  <c r="F15" i="26"/>
  <c r="E15" i="26"/>
  <c r="E14" i="26"/>
  <c r="F14" i="26" s="1"/>
  <c r="E13" i="26"/>
  <c r="F13" i="26" s="1"/>
  <c r="E12" i="26"/>
  <c r="F12" i="26" s="1"/>
  <c r="F11" i="26"/>
  <c r="E11" i="26"/>
  <c r="E10" i="26"/>
  <c r="F10" i="26" s="1"/>
  <c r="E9" i="26"/>
  <c r="F9" i="26" s="1"/>
  <c r="E8" i="26"/>
  <c r="F8" i="26" s="1"/>
  <c r="E7" i="26"/>
  <c r="F7" i="26" s="1"/>
  <c r="E17" i="7" l="1"/>
  <c r="F17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8" i="7"/>
  <c r="F8" i="7" s="1"/>
</calcChain>
</file>

<file path=xl/comments1.xml><?xml version="1.0" encoding="utf-8"?>
<comments xmlns="http://schemas.openxmlformats.org/spreadsheetml/2006/main">
  <authors>
    <author>locadmin</author>
  </authors>
  <commentList>
    <comment ref="G66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анастезия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старый
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норма 5
</t>
        </r>
      </text>
    </comment>
    <comment ref="C171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сделать разные объемы зубов
</t>
        </r>
      </text>
    </comment>
  </commentList>
</comments>
</file>

<file path=xl/comments2.xml><?xml version="1.0" encoding="utf-8"?>
<comments xmlns="http://schemas.openxmlformats.org/spreadsheetml/2006/main">
  <authors>
    <author>locadmin</author>
  </authors>
  <commentLis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анастезия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старый
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норма 5
</t>
        </r>
      </text>
    </comment>
    <comment ref="C177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сделать разные объемы зубов
</t>
        </r>
      </text>
    </comment>
    <comment ref="C210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сделать разные объемы зубов
</t>
        </r>
      </text>
    </comment>
  </commentList>
</comments>
</file>

<file path=xl/comments3.xml><?xml version="1.0" encoding="utf-8"?>
<comments xmlns="http://schemas.openxmlformats.org/spreadsheetml/2006/main">
  <authors>
    <author>locadmin</author>
  </authors>
  <commentList>
    <comment ref="G66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анастезия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старый
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норма 5
</t>
        </r>
      </text>
    </comment>
    <comment ref="C171" authorId="0" shapeId="0">
      <text>
        <r>
          <rPr>
            <b/>
            <sz val="9"/>
            <color indexed="81"/>
            <rFont val="Tahoma"/>
            <family val="2"/>
            <charset val="204"/>
          </rPr>
          <t>locadmin:</t>
        </r>
        <r>
          <rPr>
            <sz val="9"/>
            <color indexed="81"/>
            <rFont val="Tahoma"/>
            <family val="2"/>
            <charset val="204"/>
          </rPr>
          <t xml:space="preserve">
сделать разные объемы зубов
</t>
        </r>
      </text>
    </comment>
  </commentList>
</comments>
</file>

<file path=xl/sharedStrings.xml><?xml version="1.0" encoding="utf-8"?>
<sst xmlns="http://schemas.openxmlformats.org/spreadsheetml/2006/main" count="2954" uniqueCount="513">
  <si>
    <t xml:space="preserve">Прейскурант </t>
  </si>
  <si>
    <t>№ п/п</t>
  </si>
  <si>
    <t>Наименование</t>
  </si>
  <si>
    <t>Единица измерения</t>
  </si>
  <si>
    <t>Всего к оплате, р.</t>
  </si>
  <si>
    <t>Первичный прием врачом-терапевтом</t>
  </si>
  <si>
    <t>Прием</t>
  </si>
  <si>
    <t>Первичный прием врачом-терапевтом со снятием электрокардиограммы</t>
  </si>
  <si>
    <t>Прием, исследование</t>
  </si>
  <si>
    <t>Электролечение</t>
  </si>
  <si>
    <t>Процедура</t>
  </si>
  <si>
    <t>Электрофорез постоянным, импульсным токами</t>
  </si>
  <si>
    <t>Амплипульстерапия</t>
  </si>
  <si>
    <t>Дарсонвализация местная</t>
  </si>
  <si>
    <t>Магнитотерапия местная</t>
  </si>
  <si>
    <t>Светолечение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</si>
  <si>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</si>
  <si>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</si>
  <si>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</si>
  <si>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Воздействие факторами механической природы</t>
  </si>
  <si>
    <t>Ультразвуковая терапия</t>
  </si>
  <si>
    <t>Ультрафонофорез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</si>
  <si>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</si>
  <si>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</si>
  <si>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>Ингаляционная терапия</t>
  </si>
  <si>
    <r>
      <t xml:space="preserve">Ингаляции ультразвуковые </t>
    </r>
    <r>
      <rPr>
        <sz val="10"/>
        <rFont val="Times New Roman"/>
        <family val="1"/>
        <charset val="204"/>
      </rPr>
      <t>(хлорофиллипт)</t>
    </r>
  </si>
  <si>
    <t>Гидротерапия</t>
  </si>
  <si>
    <t>Подводный душ-массаж</t>
  </si>
  <si>
    <t>Бальнеотерапия</t>
  </si>
  <si>
    <t>Лекарственные ванны, смешанные ванны (соль)</t>
  </si>
  <si>
    <t>Термолечение</t>
  </si>
  <si>
    <t>Парафиновые, озокеритовые аппликации</t>
  </si>
  <si>
    <t>Массаж</t>
  </si>
  <si>
    <t>Выполнение массажных процедур механическим воздействием руками:</t>
  </si>
  <si>
    <t>Массаж спины (от VII шейного до I поясничного позвонка и от левой до правой средней аксиллярной линии, у детей – включая пояснично-крестцовую область)</t>
  </si>
  <si>
    <t>Массаж пояснично-крестцовой области (от I поясничного позвонка до нижних ягодичных складок)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</si>
  <si>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</si>
  <si>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</si>
  <si>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стоимости медицинских  услуг в Центре повышения квалификации работников лесного хозяйства для иностранных граждан</t>
  </si>
  <si>
    <t>Прейскурант стоимости услуг</t>
  </si>
  <si>
    <t>по оказанию стоматологической помощи, осуществляемой по желанию граждан Республики Беларусь,</t>
  </si>
  <si>
    <t xml:space="preserve">с учетом расхода материалов, инструментов, лекарственных средств </t>
  </si>
  <si>
    <t>и других средств медицинского назначения</t>
  </si>
  <si>
    <t>Наименование стоматологических услуг</t>
  </si>
  <si>
    <t>Стоимость услуги с учетом материалов, рублей</t>
  </si>
  <si>
    <t>Общие стоматологические мероприятия</t>
  </si>
  <si>
    <t xml:space="preserve"> 1.1</t>
  </si>
  <si>
    <t>стоматологическое обследование при первичном обращении</t>
  </si>
  <si>
    <t>обследование</t>
  </si>
  <si>
    <t>1.1.1</t>
  </si>
  <si>
    <t xml:space="preserve">применение изделий и средств медицинского назначения, используемых при каждом посещении пациента на всех видах стоматологического лечения </t>
  </si>
  <si>
    <t>манипуляция</t>
  </si>
  <si>
    <t xml:space="preserve"> 1.2</t>
  </si>
  <si>
    <t>мотивация по факторам риска стоматологических заболеваний, обучение пациента чистке зубов</t>
  </si>
  <si>
    <t>консультация</t>
  </si>
  <si>
    <t xml:space="preserve"> 1.3</t>
  </si>
  <si>
    <t xml:space="preserve">покрытие одного зуба фторсодержащим или герметизирующим  препаратом </t>
  </si>
  <si>
    <t xml:space="preserve"> 1.4</t>
  </si>
  <si>
    <t xml:space="preserve">покрытие последующего зуба фторсодержащим или герметизирующим  препаратом </t>
  </si>
  <si>
    <t>1.5</t>
  </si>
  <si>
    <t>контроль гигиены с применением специальных индексов в области ключевых зубов</t>
  </si>
  <si>
    <t>1.6</t>
  </si>
  <si>
    <t xml:space="preserve">удаление зубного налета с одного зуба, очистка зуба </t>
  </si>
  <si>
    <t>1.7</t>
  </si>
  <si>
    <t>инструментальное удаление зубных отложений  с одного зуба (крючками)</t>
  </si>
  <si>
    <t>1.9</t>
  </si>
  <si>
    <t>1.8</t>
  </si>
  <si>
    <t>временная пломба</t>
  </si>
  <si>
    <t>удаление одной прочнофиксированной пломбы</t>
  </si>
  <si>
    <t>1.10</t>
  </si>
  <si>
    <t xml:space="preserve">удаление одной дефектной пломбы </t>
  </si>
  <si>
    <t>1.11</t>
  </si>
  <si>
    <t>инфильтрационная  анестезия</t>
  </si>
  <si>
    <t>1.12</t>
  </si>
  <si>
    <t>проводниковая  анестезия</t>
  </si>
  <si>
    <t>2</t>
  </si>
  <si>
    <t>Стоматология терапевтическая</t>
  </si>
  <si>
    <t>2.1</t>
  </si>
  <si>
    <t>2.2</t>
  </si>
  <si>
    <t>препарирование твердых тканей одного зуба при лечении кариеса  I, II, III, IV, V классов по Блэку и некариозных заболеваний, возникших после прорезывания зубов с локализацией полостей независимо от поверхности:</t>
  </si>
  <si>
    <t>2.1.1</t>
  </si>
  <si>
    <t>минимальное инвазивное препарирование кариозной полости</t>
  </si>
  <si>
    <t>2.1.2</t>
  </si>
  <si>
    <t>препарирование кариозной полости при разрушении до 1/3 коронки зуба</t>
  </si>
  <si>
    <t>2.1.3</t>
  </si>
  <si>
    <t>препарирование кариозной полости  при разрушении до 1/2 коронки зуба</t>
  </si>
  <si>
    <t>2.1.4</t>
  </si>
  <si>
    <t>препарирование кариозной полости  при разрушении более 1/2 коронки зуба</t>
  </si>
  <si>
    <t>изготовление изолирующей цементосодержащей прокладки</t>
  </si>
  <si>
    <r>
      <t>(Уницем)</t>
    </r>
    <r>
      <rPr>
        <sz val="14"/>
        <rFont val="Times New Roman"/>
        <family val="1"/>
        <charset val="204"/>
      </rPr>
      <t xml:space="preserve"> манипуляция</t>
    </r>
  </si>
  <si>
    <t>2.3</t>
  </si>
  <si>
    <t>изготовление изолирующей прокладки  из стеклоиономерного цемента химического отверждения</t>
  </si>
  <si>
    <t>2.4</t>
  </si>
  <si>
    <t>эндодонтическое лечение одного зуба  при пульпите и апикальном периодонтите:</t>
  </si>
  <si>
    <t>2.4.1</t>
  </si>
  <si>
    <t xml:space="preserve">препарирование кариозной полости и полости однокорневого зуба </t>
  </si>
  <si>
    <t>2.4.2</t>
  </si>
  <si>
    <t xml:space="preserve">препарирование кариозной полости и полости многокорневого зуба </t>
  </si>
  <si>
    <t>2.4.3</t>
  </si>
  <si>
    <t>наложение девитализирующей пасты</t>
  </si>
  <si>
    <t>2.4.4</t>
  </si>
  <si>
    <t>ампутация пульпы</t>
  </si>
  <si>
    <t>2.4.5</t>
  </si>
  <si>
    <t>инструментальная обработка одного хорошо проходимого канала</t>
  </si>
  <si>
    <t>2.4.6</t>
  </si>
  <si>
    <t>антисептическая обработка одного канала</t>
  </si>
  <si>
    <t>2.4.7</t>
  </si>
  <si>
    <t>пломбирование одного канала гуттаперчевыми штифтами на силлере методом конденсации</t>
  </si>
  <si>
    <t>2.5</t>
  </si>
  <si>
    <t xml:space="preserve">реставрация коронковой части одного зуба  фотополимерным композиционным материалом при лечении кариозной полости I - V классов по Блэку с локализацией полостей независимо от поверхности: </t>
  </si>
  <si>
    <t>2.5.1</t>
  </si>
  <si>
    <t>при минимальном инвазивном препарировании кариозной полости</t>
  </si>
  <si>
    <t>(Филтек)</t>
  </si>
  <si>
    <t>2.5.2</t>
  </si>
  <si>
    <t>при разрушении до 1/3 коронки зуба</t>
  </si>
  <si>
    <t>2.5.3</t>
  </si>
  <si>
    <t>при разрушении до 1/2 коронки зуба</t>
  </si>
  <si>
    <t>2.5.4</t>
  </si>
  <si>
    <t>при разрушении более 1/2 коронки зуба</t>
  </si>
  <si>
    <t>2.9</t>
  </si>
  <si>
    <t>2.9.1</t>
  </si>
  <si>
    <t>2.6</t>
  </si>
  <si>
    <t>реставрация коронковой части одного зуба  стеклоиономерным цементом  химического отвер-ждения при лечении кариозной полости I - V классов по Блэку с локализацией полостей независимо от поверхности:</t>
  </si>
  <si>
    <r>
      <t xml:space="preserve">(Кетак Моляр) </t>
    </r>
    <r>
      <rPr>
        <sz val="14"/>
        <rFont val="Times New Roman"/>
        <family val="1"/>
        <charset val="204"/>
      </rPr>
      <t>манипуляция</t>
    </r>
  </si>
  <si>
    <t>2.6.1</t>
  </si>
  <si>
    <t>2.6.2</t>
  </si>
  <si>
    <t>2.6.3</t>
  </si>
  <si>
    <t>2.6.4</t>
  </si>
  <si>
    <t>2.7</t>
  </si>
  <si>
    <t>виниринговое (прямое) покрытие коронковой части зуба (без стоимости пломбы)</t>
  </si>
  <si>
    <t>2.8</t>
  </si>
  <si>
    <t>Наложение матрицы</t>
  </si>
  <si>
    <t>шлифовка, полировка пломбы из композиционного материала:</t>
  </si>
  <si>
    <t>фотоотверждаемого</t>
  </si>
  <si>
    <t>2.10</t>
  </si>
  <si>
    <t>шлифовка, полировка пломбы из стеклоиономерного цемента</t>
  </si>
  <si>
    <t>по оказанию стоматологической помощи, осуществляемой по желанию иностранных граждан,</t>
  </si>
  <si>
    <t>стоимости дополнительных услуг  Центра повышения квалификации работников лесного хозяйства</t>
  </si>
  <si>
    <t>Стоимость услуги, руб.</t>
  </si>
  <si>
    <t>без учета НДС</t>
  </si>
  <si>
    <t>НДС, 20%</t>
  </si>
  <si>
    <t>с учетом НДС</t>
  </si>
  <si>
    <t>Спортивный зал</t>
  </si>
  <si>
    <t>1 час</t>
  </si>
  <si>
    <t>Тренажерный зал</t>
  </si>
  <si>
    <t>1 час на 1 человека</t>
  </si>
  <si>
    <t>Бильярд</t>
  </si>
  <si>
    <t>стол на 1 час</t>
  </si>
  <si>
    <t>Настольный теннис</t>
  </si>
  <si>
    <t>Беседка              (вместимость до 25 чел)</t>
  </si>
  <si>
    <t>Беседка              (вместимость до 10 чел)</t>
  </si>
  <si>
    <t>Сауна для группы (5 чел.), минимальный сеанс</t>
  </si>
  <si>
    <t xml:space="preserve">2 часа </t>
  </si>
  <si>
    <t>Сауна для группы (5 чел.), за каждый последующий час сверх минимального сеанса</t>
  </si>
  <si>
    <t>Сауна (доплата за 1 чел. при группе свыше 5 человек)</t>
  </si>
  <si>
    <t xml:space="preserve">2 часа  </t>
  </si>
  <si>
    <t xml:space="preserve">стоимости дополнительных услуг  Центра повышения квалификации работников лесного хозяйства </t>
  </si>
  <si>
    <t>для иностранных граждан</t>
  </si>
  <si>
    <t>Единица изм.</t>
  </si>
  <si>
    <t>1.</t>
  </si>
  <si>
    <t>Одноместный номер 1 категории</t>
  </si>
  <si>
    <t>койко-место, сутки</t>
  </si>
  <si>
    <t>Одноместный номер 2 категории</t>
  </si>
  <si>
    <t>Двухместный номер 2 категории</t>
  </si>
  <si>
    <t>Номер 4 категории (1 этаж)</t>
  </si>
  <si>
    <t>Однокомнатный двухместный номер "Кинг сайз"</t>
  </si>
  <si>
    <t>номер,    сутки</t>
  </si>
  <si>
    <t>2.</t>
  </si>
  <si>
    <t>3.</t>
  </si>
  <si>
    <t>4.</t>
  </si>
  <si>
    <t>5.</t>
  </si>
  <si>
    <t>стоимости проживания  в гостинице Центра повышения квалификации работников лесного хозяйства для иностранных граждан</t>
  </si>
  <si>
    <t>Тариф без НДС, р.</t>
  </si>
  <si>
    <t>Стоимость материалов</t>
  </si>
  <si>
    <t>За безналичный расчет</t>
  </si>
  <si>
    <t>За наличный расчет</t>
  </si>
  <si>
    <t>Тариф без НДС, руб.</t>
  </si>
  <si>
    <t>Всего к оплате, руб.</t>
  </si>
  <si>
    <t>Наименование материалов, инструментов, лекарственных средств, изделий и средств медицинского назначения</t>
  </si>
  <si>
    <t>Норма расхода материалов, инструментов, лекарственных средств, изделий и средств медицинского назначения</t>
  </si>
  <si>
    <t>Цена за ед. пр. (рублей)</t>
  </si>
  <si>
    <t>Стоимость материалов, (рублей)</t>
  </si>
  <si>
    <t>Стоимость материалов, рублей</t>
  </si>
  <si>
    <t xml:space="preserve">Тариф на услугу, рублей </t>
  </si>
  <si>
    <t>набор инструментов</t>
  </si>
  <si>
    <t>шт.</t>
  </si>
  <si>
    <t>салфетка для пациента одноразовая</t>
  </si>
  <si>
    <t>наконечник на слюноотсос одноразовый</t>
  </si>
  <si>
    <t>маска одноразовая</t>
  </si>
  <si>
    <t>перчатки медицинские одноразовые</t>
  </si>
  <si>
    <t xml:space="preserve">валики  </t>
  </si>
  <si>
    <t>фторпрепарат</t>
  </si>
  <si>
    <t>мл</t>
  </si>
  <si>
    <t>избирательное пришлифовывание бугров одного зуба</t>
  </si>
  <si>
    <t>бор алмазный</t>
  </si>
  <si>
    <t>головки шлифовальные стоматологические</t>
  </si>
  <si>
    <t>бор полировочный финишный</t>
  </si>
  <si>
    <t>головка полировочная</t>
  </si>
  <si>
    <t>щетки полировочные</t>
  </si>
  <si>
    <t>чашечки (головки) резиновые полировочные</t>
  </si>
  <si>
    <t>паста специальная полировочная</t>
  </si>
  <si>
    <t>грамм</t>
  </si>
  <si>
    <t>раствор антисептика</t>
  </si>
  <si>
    <t>полоски шлифовальные</t>
  </si>
  <si>
    <t>штрипсы металлические</t>
  </si>
  <si>
    <t>Пневматическое удаление зубных отложений с одного зуба</t>
  </si>
  <si>
    <t xml:space="preserve">насадка для скейлера </t>
  </si>
  <si>
    <t>временный пломбировочный материал</t>
  </si>
  <si>
    <t>бор стальной</t>
  </si>
  <si>
    <t>0,25/0,5</t>
  </si>
  <si>
    <t>бор твердосплавный</t>
  </si>
  <si>
    <t>0,2/0,4</t>
  </si>
  <si>
    <t>раствор анестетика</t>
  </si>
  <si>
    <t>мл.</t>
  </si>
  <si>
    <t>шприц</t>
  </si>
  <si>
    <t>герметизация фиссур одного зуба силантами фотоотверждения  (неинвазивный метод)</t>
  </si>
  <si>
    <r>
      <t>(Филтек Алтимейт)</t>
    </r>
    <r>
      <rPr>
        <sz val="14"/>
        <rFont val="Times New Roman"/>
        <family val="1"/>
        <charset val="204"/>
      </rPr>
      <t xml:space="preserve"> манипуляция</t>
    </r>
  </si>
  <si>
    <t>(м-л "Филтек Алтимейт")</t>
  </si>
  <si>
    <t>материал для герметизации фиссур</t>
  </si>
  <si>
    <t>паста полировочная</t>
  </si>
  <si>
    <t xml:space="preserve">герметизация фиссур одного зуба фотополимерным композиционным материалом (инвазивный метод) </t>
  </si>
  <si>
    <t>0,3333/0,6667</t>
  </si>
  <si>
    <t>0,5/1</t>
  </si>
  <si>
    <t>(м-л «Уницем»)</t>
  </si>
  <si>
    <t>цемент стоматологический</t>
  </si>
  <si>
    <t>стекло для замешивания цемента</t>
  </si>
  <si>
    <t>(м-л «Ионо Джем»)</t>
  </si>
  <si>
    <t>цемент стеклоиономерный</t>
  </si>
  <si>
    <r>
      <t xml:space="preserve">(Кетак Моляр) </t>
    </r>
    <r>
      <rPr>
        <sz val="12"/>
        <rFont val="Times New Roman"/>
        <family val="1"/>
        <charset val="204"/>
      </rPr>
      <t>манипуляция</t>
    </r>
  </si>
  <si>
    <t>(м-л «Кетак Моляр»)</t>
  </si>
  <si>
    <r>
      <t xml:space="preserve">(Цемион) </t>
    </r>
    <r>
      <rPr>
        <sz val="14"/>
        <rFont val="Times New Roman"/>
        <family val="1"/>
        <charset val="204"/>
      </rPr>
      <t>манипуляция</t>
    </r>
  </si>
  <si>
    <t>(м-л «Цемион»)</t>
  </si>
  <si>
    <t>2.6.</t>
  </si>
  <si>
    <t>изготовление  кальцийсодержащей лечебной прокладки химического отверждения</t>
  </si>
  <si>
    <r>
      <t xml:space="preserve">(Кальцесил) </t>
    </r>
    <r>
      <rPr>
        <sz val="14"/>
        <rFont val="Times New Roman"/>
        <family val="1"/>
        <charset val="204"/>
      </rPr>
      <t>манипуляция</t>
    </r>
  </si>
  <si>
    <t>(м-л «Кальцесил»)</t>
  </si>
  <si>
    <t>кальцийсодержащий материал химического отверждения</t>
  </si>
  <si>
    <t>паста девитализирующая</t>
  </si>
  <si>
    <t>инструмент эндодонтический для прохождения каналов (ример)</t>
  </si>
  <si>
    <t>инструмент эндодонтический для прохождения каналов (файл))</t>
  </si>
  <si>
    <t>Инструмент для расширения устья каналов</t>
  </si>
  <si>
    <t>2.7.6</t>
  </si>
  <si>
    <t>инструментальная обработка одного плохо проходимого канала</t>
  </si>
  <si>
    <t>2.7.7.</t>
  </si>
  <si>
    <t>экстирпация пульпы из одного канала</t>
  </si>
  <si>
    <t>Пульпоэкстрактор</t>
  </si>
  <si>
    <t>1/2</t>
  </si>
  <si>
    <t>Раствор антисептика</t>
  </si>
  <si>
    <t>2.7.8.</t>
  </si>
  <si>
    <t>распломбирование и инструментальная обработка одного канала зуба, ранее запломбированного пастой</t>
  </si>
  <si>
    <t>Инструмент эндодонтический для прохождения каналов (ример)</t>
  </si>
  <si>
    <t>Инструмент эндодонтический для прохождения каналов (файл)</t>
  </si>
  <si>
    <t>3</t>
  </si>
  <si>
    <t>2.7.9.</t>
  </si>
  <si>
    <t>распломбирование и инструментальная обработка одного канала зуба, ранее запломбированного пастой, резорцинформалиновой пастой</t>
  </si>
  <si>
    <t>Раствор антисептика для каналов</t>
  </si>
  <si>
    <t>2.7.11.</t>
  </si>
  <si>
    <t>медикаментозная обработка одного канала с помощью специальных средств для прохождения и расширения корневого канала</t>
  </si>
  <si>
    <t>Средство для прохождения и расширения корневого канала</t>
  </si>
  <si>
    <t>материал пломбировочный внутриканальный (тиэдент)</t>
  </si>
  <si>
    <t>Жидкость обезжиривающая</t>
  </si>
  <si>
    <t>Игла корневая</t>
  </si>
  <si>
    <t>Каналонаполнитель</t>
  </si>
  <si>
    <t>0,1/0,2</t>
  </si>
  <si>
    <t>Спредер</t>
  </si>
  <si>
    <t>Плагер</t>
  </si>
  <si>
    <t>0,0333/0,01</t>
  </si>
  <si>
    <t>штифт гуттаперчивый</t>
  </si>
  <si>
    <t>(м-л "Филтек")</t>
  </si>
  <si>
    <t>материал пломбировочный, бондинг, аксессуары</t>
  </si>
  <si>
    <t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поверхности:</t>
  </si>
  <si>
    <r>
      <t>(Спектрум)</t>
    </r>
    <r>
      <rPr>
        <sz val="14"/>
        <rFont val="Times New Roman"/>
        <family val="1"/>
        <charset val="204"/>
      </rPr>
      <t xml:space="preserve"> </t>
    </r>
  </si>
  <si>
    <t>(м-л "Спектрум")</t>
  </si>
  <si>
    <r>
      <t>(Филтек)</t>
    </r>
    <r>
      <rPr>
        <sz val="14"/>
        <rFont val="Times New Roman"/>
        <family val="1"/>
        <charset val="204"/>
      </rPr>
      <t xml:space="preserve"> </t>
    </r>
  </si>
  <si>
    <t>(Харизма)</t>
  </si>
  <si>
    <t>(м-л "Харизма")</t>
  </si>
  <si>
    <t>2.9.2</t>
  </si>
  <si>
    <t xml:space="preserve">при разрушении до 1/3 коронки зуба </t>
  </si>
  <si>
    <t>(Спектрум)</t>
  </si>
  <si>
    <t>2.9.3</t>
  </si>
  <si>
    <t>2.9.4</t>
  </si>
  <si>
    <t xml:space="preserve">материал пломбировочный  </t>
  </si>
  <si>
    <t>2.12</t>
  </si>
  <si>
    <t>восстановление угла коронковой части зуба при отломе (без стоимости пломбы)</t>
  </si>
  <si>
    <t>2.13</t>
  </si>
  <si>
    <t>восстановление угла коронковой части зуба при лечении кариеса и пульпита (без стоимости пломбы)</t>
  </si>
  <si>
    <t>2.14</t>
  </si>
  <si>
    <t>полное восстановление анатомической формы коронковой части фронтального зуба (без стоимости пломбы)</t>
  </si>
  <si>
    <t>2.15</t>
  </si>
  <si>
    <t xml:space="preserve">полное восстановление анатомической формы коронковой части жевательного зуба (без стоимости пломбы) </t>
  </si>
  <si>
    <t>матрица металлическая</t>
  </si>
  <si>
    <t>шт./см</t>
  </si>
  <si>
    <t>1</t>
  </si>
  <si>
    <t>клинья фиксирующие</t>
  </si>
  <si>
    <t>химического отверждения</t>
  </si>
  <si>
    <t>диски полировочные</t>
  </si>
  <si>
    <t>2.19</t>
  </si>
  <si>
    <t xml:space="preserve">противовоспалительная лечебная повязка в области одного секстанта </t>
  </si>
  <si>
    <r>
      <t xml:space="preserve">(Гиоксизон) </t>
    </r>
    <r>
      <rPr>
        <sz val="14"/>
        <rFont val="Times New Roman"/>
        <family val="1"/>
        <charset val="204"/>
      </rPr>
      <t>манипуляция</t>
    </r>
  </si>
  <si>
    <t>(Гиоксизон мазь)</t>
  </si>
  <si>
    <t>лекарственный препарат</t>
  </si>
  <si>
    <t>(Линкомицин)</t>
  </si>
  <si>
    <t>(Линкомицин мазь)</t>
  </si>
  <si>
    <t>2.20</t>
  </si>
  <si>
    <t>местная лекарственная обработка очагов поражения слизистой оболочки  полости рта</t>
  </si>
  <si>
    <t>лекарственный препарат (согласно методике и инструкции по применению)</t>
  </si>
  <si>
    <t>Физиотерапия (физиотерапевтическое лечение стоматологических заболеваний):</t>
  </si>
  <si>
    <t xml:space="preserve"> 3.1</t>
  </si>
  <si>
    <t>Д'Арсонваль</t>
  </si>
  <si>
    <t>процедура</t>
  </si>
  <si>
    <t xml:space="preserve"> спирт этиловый</t>
  </si>
  <si>
    <t xml:space="preserve"> салфетка одноразовая</t>
  </si>
  <si>
    <t>(Альфа-дент)</t>
  </si>
  <si>
    <t>Вводится в действие с "1"октября 2015 года</t>
  </si>
  <si>
    <t>стоимости медицинских  услуг для сторонних клиентов (граждан РБ)</t>
  </si>
  <si>
    <t>Механический аппаратный массаж  массажной подушкой</t>
  </si>
  <si>
    <t>УЗИ</t>
  </si>
  <si>
    <t>Ультразвуковое исследование органов брюшной полости:</t>
  </si>
  <si>
    <t>Печень, желчный пузырь без определения функции</t>
  </si>
  <si>
    <t>Исследование</t>
  </si>
  <si>
    <t>Поджелудочная железа</t>
  </si>
  <si>
    <t>Селезенка</t>
  </si>
  <si>
    <t>Ультразвуковое исследование органов мочеполовой системы: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</si>
  <si>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</si>
  <si>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</si>
  <si>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</si>
  <si>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</si>
  <si>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</si>
  <si>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пузырем и определением остаточной мочи (трансабдоминально)</t>
  </si>
  <si>
    <t>Мошонка</t>
  </si>
  <si>
    <t>Матка и придатки с мочевым пузырём (трансабдоминально)</t>
  </si>
  <si>
    <t>Матка и придатки (трансвагинально)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</si>
  <si>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</si>
  <si>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</si>
  <si>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Щитовидная железа с лимфатическими поверхностными узлами</t>
  </si>
  <si>
    <t>Мягкие ткани</t>
  </si>
  <si>
    <t>Молочных желез с лимфатическими поверхностными узлами</t>
  </si>
  <si>
    <t>Лимфатические узлы (одна область с обеих сторон)</t>
  </si>
  <si>
    <t>Специальные ультразвуковые исследования:</t>
  </si>
  <si>
    <t>Эхокардиография (М+В режим) на цветных аппаратах</t>
  </si>
  <si>
    <t>Сосуды верхних/нижних конечностей</t>
  </si>
  <si>
    <t>Сосуды/артерии шеи</t>
  </si>
  <si>
    <t>Артерии верхних/нижних конечностей</t>
  </si>
  <si>
    <t>УТВЕРЖДАЮ:</t>
  </si>
  <si>
    <t>Директор Центра повышения квалификации</t>
  </si>
  <si>
    <t>работников лесного хозяйства</t>
  </si>
  <si>
    <t>_____________А.Б. Журавский</t>
  </si>
  <si>
    <t>Комплект лыж</t>
  </si>
  <si>
    <t xml:space="preserve">стоимости медицинских  услуг для работников организаций Министерства лесного хозяйства </t>
  </si>
  <si>
    <t>Вводится с "01" июля 2016 года</t>
  </si>
  <si>
    <t>с учетом НДС (до деномена-ции)</t>
  </si>
  <si>
    <t>1 час на 1 чел.</t>
  </si>
  <si>
    <t>Вводится в действие с "01" июля 2016 года</t>
  </si>
  <si>
    <t>Стоимость услуги с учетом материалов, руб.</t>
  </si>
  <si>
    <t>Стоимость услуги с учетом материалов, руб. ( до деноме- нации)</t>
  </si>
  <si>
    <t>Стоимость материалов, руб.</t>
  </si>
  <si>
    <t>Всего к оплате, руб. (до деноменации)</t>
  </si>
  <si>
    <t>Приложение 4</t>
  </si>
  <si>
    <t>по оказанию стоматологической помощи, осуществляемой по желанию работников организаций Министерства лесного хозяйства,</t>
  </si>
  <si>
    <t>Вводится в действие с "1"июля 2016 года</t>
  </si>
  <si>
    <t>Итого с учетом округления (рублей)</t>
  </si>
  <si>
    <t>Стоимость услуги с учетом материалов, рублей (до деноменации</t>
  </si>
  <si>
    <t>2.17.1</t>
  </si>
  <si>
    <t>Прейскурант цен</t>
  </si>
  <si>
    <t>на оказание платных услуг образования</t>
  </si>
  <si>
    <t>для организаций Министерства лесного хозяйства</t>
  </si>
  <si>
    <t>Наименование услуги</t>
  </si>
  <si>
    <t>Срок обучения</t>
  </si>
  <si>
    <t>Стоимость услуги, рублей</t>
  </si>
  <si>
    <t>Стоимость услуги, рублей ( до деноминации)</t>
  </si>
  <si>
    <t>I. Подготовка, переподготовка</t>
  </si>
  <si>
    <r>
      <rPr>
        <b/>
        <sz val="13"/>
        <rFont val="Times New Roman"/>
        <family val="1"/>
        <charset val="204"/>
      </rPr>
      <t>"Вальщик леса"</t>
    </r>
    <r>
      <rPr>
        <sz val="13"/>
        <rFont val="Times New Roman"/>
        <family val="1"/>
        <charset val="204"/>
      </rPr>
      <t xml:space="preserve"> 6 разряд</t>
    </r>
  </si>
  <si>
    <t>2 месяца (320 часов)</t>
  </si>
  <si>
    <t>(424 часа)</t>
  </si>
  <si>
    <t>II. Повышение квалификации</t>
  </si>
  <si>
    <t>1 неделя (36 часов)</t>
  </si>
  <si>
    <r>
      <rPr>
        <b/>
        <sz val="13"/>
        <rFont val="Times New Roman"/>
        <family val="1"/>
        <charset val="204"/>
      </rPr>
      <t>Резерв кадров</t>
    </r>
    <r>
      <rPr>
        <sz val="13"/>
        <rFont val="Times New Roman"/>
        <family val="1"/>
        <charset val="204"/>
      </rPr>
      <t xml:space="preserve"> (1-й уровень)</t>
    </r>
  </si>
  <si>
    <t>2 неделя (72 часа)</t>
  </si>
  <si>
    <r>
      <rPr>
        <b/>
        <sz val="13"/>
        <rFont val="Times New Roman"/>
        <family val="1"/>
        <charset val="204"/>
      </rPr>
      <t>Резерв кадров</t>
    </r>
    <r>
      <rPr>
        <sz val="13"/>
        <rFont val="Times New Roman"/>
        <family val="1"/>
        <charset val="204"/>
      </rPr>
      <t xml:space="preserve"> (2-й уровень)</t>
    </r>
  </si>
  <si>
    <t>1 неделя (40 часов)</t>
  </si>
  <si>
    <t>Инженер по охотничьему хозяйству</t>
  </si>
  <si>
    <t>6.</t>
  </si>
  <si>
    <t>2 недели (72 часа)</t>
  </si>
  <si>
    <t>7.</t>
  </si>
  <si>
    <t>Мастер леса</t>
  </si>
  <si>
    <t>8.</t>
  </si>
  <si>
    <t>Лесничий</t>
  </si>
  <si>
    <t>9.</t>
  </si>
  <si>
    <t>Помощник лесничего</t>
  </si>
  <si>
    <t>III. Обучающие курсы</t>
  </si>
  <si>
    <r>
      <t>"Сортиментная заготовка древесины при индивидуальном методе работы</t>
    </r>
    <r>
      <rPr>
        <b/>
        <sz val="13"/>
        <rFont val="Times New Roman"/>
        <family val="1"/>
        <charset val="204"/>
      </rPr>
      <t xml:space="preserve"> вальщика леса</t>
    </r>
    <r>
      <rPr>
        <sz val="13"/>
        <rFont val="Times New Roman"/>
        <family val="1"/>
        <charset val="204"/>
      </rPr>
      <t>"</t>
    </r>
  </si>
  <si>
    <t>2 недели (80 часов)</t>
  </si>
  <si>
    <r>
      <t xml:space="preserve">"Введение в должность по профессии    </t>
    </r>
    <r>
      <rPr>
        <b/>
        <sz val="13"/>
        <rFont val="Times New Roman"/>
        <family val="1"/>
        <charset val="204"/>
      </rPr>
      <t>лесник</t>
    </r>
    <r>
      <rPr>
        <sz val="13"/>
        <rFont val="Times New Roman"/>
        <family val="1"/>
        <charset val="204"/>
      </rPr>
      <t>"</t>
    </r>
  </si>
  <si>
    <t>4 недели (140 часов)</t>
  </si>
  <si>
    <t>Мастер леса "1С бухгалтерия"</t>
  </si>
  <si>
    <t>3 дня (24 часа)</t>
  </si>
  <si>
    <t>Бухгалтер "1С бухгалтерия"</t>
  </si>
  <si>
    <t>Инженер по лесовосстановлению</t>
  </si>
  <si>
    <t>для сторонних организаций (граждан Республики Беларусь)</t>
  </si>
  <si>
    <t>Стоимость услуги, рублей (до деноминации)</t>
  </si>
  <si>
    <t>для сторонних организаций (иностранных граждан)</t>
  </si>
  <si>
    <t>Подготовка, переподготовка</t>
  </si>
  <si>
    <r>
      <rPr>
        <b/>
        <sz val="12"/>
        <rFont val="Times New Roman"/>
        <family val="1"/>
        <charset val="204"/>
      </rPr>
      <t>"Вальщик леса"</t>
    </r>
    <r>
      <rPr>
        <sz val="12"/>
        <rFont val="Times New Roman"/>
        <family val="1"/>
        <charset val="204"/>
      </rPr>
      <t xml:space="preserve"> 6 разряд</t>
    </r>
  </si>
  <si>
    <r>
      <rPr>
        <b/>
        <sz val="12"/>
        <rFont val="Times New Roman"/>
        <family val="1"/>
        <charset val="204"/>
      </rPr>
      <t>"Машинист трелёвочной (лесозаготовительной) машины"</t>
    </r>
    <r>
      <rPr>
        <sz val="12"/>
        <rFont val="Times New Roman"/>
        <family val="1"/>
        <charset val="204"/>
      </rPr>
      <t xml:space="preserve"> 8 разряд</t>
    </r>
  </si>
  <si>
    <t>Вводится с "01" ноября 2016 года</t>
  </si>
  <si>
    <t>Приложение 6</t>
  </si>
  <si>
    <t>"05" сентября 2016 г.</t>
  </si>
  <si>
    <t>Вводится с "05" сентября 2016 года</t>
  </si>
  <si>
    <t>Консультация врача-терапевта</t>
  </si>
  <si>
    <t>Начальник планово-экономического сектора</t>
  </si>
  <si>
    <t>Пантелеенко И.Г.</t>
  </si>
  <si>
    <t>Приложение 5</t>
  </si>
  <si>
    <t>"29" августа 2016 г.</t>
  </si>
  <si>
    <t>стоимости медицинских  услуг на исследование крови, которые проводятся на базе клинико-диагностической лаборатории ИУП "Синлаб-ЕМЛ"</t>
  </si>
  <si>
    <t>Вводится с "29" августа 2016 года</t>
  </si>
  <si>
    <t>Стоимость услуги (тариф),  руб.</t>
  </si>
  <si>
    <t>Стоимость материалов без НДС, руб.</t>
  </si>
  <si>
    <t>Стоимость материалов с НДС, руб.</t>
  </si>
  <si>
    <t>Регистрация и выдача медицинских документов</t>
  </si>
  <si>
    <t>Пепиттирование</t>
  </si>
  <si>
    <t>Центрифугирование</t>
  </si>
  <si>
    <t xml:space="preserve">Забор крови из вены </t>
  </si>
  <si>
    <t>Общий анализ крови с дифференциров- кой лейкоцитарной формулы</t>
  </si>
  <si>
    <t xml:space="preserve">С- реактивный белок Normal -1 </t>
  </si>
  <si>
    <t>АлАТ (аланинаминотрансфераза)</t>
  </si>
  <si>
    <t xml:space="preserve">Альфа-амилаза </t>
  </si>
  <si>
    <t xml:space="preserve">АсАТ (аспартаминотрансфераза) </t>
  </si>
  <si>
    <t xml:space="preserve">Билирубин общий </t>
  </si>
  <si>
    <t>Глюкоза</t>
  </si>
  <si>
    <t>Креатинин</t>
  </si>
  <si>
    <t>Мочевина</t>
  </si>
  <si>
    <t>Общий белок</t>
  </si>
  <si>
    <t xml:space="preserve">Ревматоидный фактор </t>
  </si>
  <si>
    <t xml:space="preserve">Холестирин липопротеинов низкой плотности (ЛПНП) </t>
  </si>
  <si>
    <t>Постановка СОЭ по методу Вестергрена (при заборе крови вне лаборатории)</t>
  </si>
  <si>
    <t>PSA (Простато-специфический антиген)</t>
  </si>
  <si>
    <t>T3 (Трийодтиронин общий)</t>
  </si>
  <si>
    <t>T4 (Тироксин общий)</t>
  </si>
  <si>
    <t>TG (Тиреоглобулин)</t>
  </si>
  <si>
    <t>TSN (Тиреотропный гормон)</t>
  </si>
  <si>
    <t>Приложение 1</t>
  </si>
  <si>
    <t>Исполняющий обязанности директора</t>
  </si>
  <si>
    <t xml:space="preserve"> Центра повышения квалификации</t>
  </si>
  <si>
    <t>_______________________В.В. Закалинская</t>
  </si>
  <si>
    <t>"16"  января  2017г.</t>
  </si>
  <si>
    <t>Вводится в действие с "16" января 2017 года</t>
  </si>
  <si>
    <t>(Витремер) манипуляция</t>
  </si>
  <si>
    <r>
      <t xml:space="preserve">(ФлоуРест) </t>
    </r>
    <r>
      <rPr>
        <sz val="14"/>
        <rFont val="Times New Roman"/>
        <family val="1"/>
        <charset val="204"/>
      </rPr>
      <t>манипуляция</t>
    </r>
  </si>
  <si>
    <t>2.3.1</t>
  </si>
  <si>
    <t>2.3.2</t>
  </si>
  <si>
    <t>2.3.3</t>
  </si>
  <si>
    <t>2.3.4</t>
  </si>
  <si>
    <t>2.3.5</t>
  </si>
  <si>
    <t>2.3.6</t>
  </si>
  <si>
    <t>2.3.7</t>
  </si>
  <si>
    <t>(Каризма)</t>
  </si>
  <si>
    <t>2.4.8</t>
  </si>
  <si>
    <t>2.4.9</t>
  </si>
  <si>
    <t xml:space="preserve">(Витремер) </t>
  </si>
  <si>
    <t>2.4.10</t>
  </si>
  <si>
    <t>2.4.11</t>
  </si>
  <si>
    <t>2.4.12</t>
  </si>
  <si>
    <t>Приложение 2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</si>
  <si>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</si>
  <si>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</si>
  <si>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</si>
  <si>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</si>
  <si>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</si>
  <si>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</si>
  <si>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</si>
  <si>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</si>
  <si>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Приложение 3</t>
  </si>
  <si>
    <t xml:space="preserve"> Директор</t>
  </si>
  <si>
    <t>"16" марта 2017 г.</t>
  </si>
  <si>
    <t>Вводится в действие с "16" марта 2017 года</t>
  </si>
  <si>
    <r>
      <rPr>
        <b/>
        <sz val="13"/>
        <rFont val="Times New Roman"/>
        <family val="1"/>
        <charset val="204"/>
      </rPr>
      <t xml:space="preserve">"Машинист трелёвочной (лесозаготовительной) машины" </t>
    </r>
    <r>
      <rPr>
        <sz val="13"/>
        <rFont val="Times New Roman"/>
        <family val="1"/>
        <charset val="204"/>
      </rPr>
      <t xml:space="preserve"> 8 разряд</t>
    </r>
  </si>
  <si>
    <t>Инженер по охране труда</t>
  </si>
  <si>
    <t>Инженер по подготовке кадров</t>
  </si>
  <si>
    <t>10.</t>
  </si>
  <si>
    <t>Начальник питомника</t>
  </si>
  <si>
    <t>11.</t>
  </si>
  <si>
    <t>Инженер-лесопатолог</t>
  </si>
  <si>
    <t>12.</t>
  </si>
  <si>
    <t>Мастер деревообрабатывающих цехов</t>
  </si>
  <si>
    <t>1 неделя (38 часов)</t>
  </si>
  <si>
    <t>Обучение управлению и обслуживанию харвестеров (форвардеров) Vimek</t>
  </si>
  <si>
    <t>"29" марта  2017г.</t>
  </si>
  <si>
    <t>стоимости проживания  в гостинице Центра повышения квалификации работников лесного хозяйства завтрака для граждан РБ</t>
  </si>
  <si>
    <t>Вводится с "03" апреля 2017 года</t>
  </si>
  <si>
    <t>Цена за проживание, рублей</t>
  </si>
  <si>
    <t>Сумма НДС, рублей (проживание)</t>
  </si>
  <si>
    <t>Цена за проживание с НДС без завтрака, рублей</t>
  </si>
  <si>
    <t>Цена за проживание с завтраком, рублей</t>
  </si>
  <si>
    <t>стоимости проживания  в гостинице Центра повышения квалификации работников лесного хозяйства  для работников Министерства лесного хозяйства</t>
  </si>
  <si>
    <t>Тарифы на пассажирские перевозки автобусом МАЗ 226068</t>
  </si>
  <si>
    <t>действует с 01.07.2016</t>
  </si>
  <si>
    <t>Стоимость за 1 час работы с НДС, руб.</t>
  </si>
  <si>
    <t>Стоимость за 1 км пробега с НДС, руб.</t>
  </si>
  <si>
    <t>город Минск</t>
  </si>
  <si>
    <t>Республика Беларусь</t>
  </si>
  <si>
    <t>Минимальный заказ:</t>
  </si>
  <si>
    <t xml:space="preserve"> - организациям и работникам Министерства лесного хозяйства от 2 часов</t>
  </si>
  <si>
    <t xml:space="preserve"> - сторонним клиентам от 3 часов </t>
  </si>
  <si>
    <t>Плата за проезд по платным дорогам, мостам и переправам дополнительно возмещается заказчиками в соответствии с договором, когда перевозчик несет указанные расходы по поручению заказчика.</t>
  </si>
  <si>
    <t>Тарифы на пассажирские перевозки автобусом ГАЗ А63R42-10</t>
  </si>
  <si>
    <t>от 23.01.2017</t>
  </si>
  <si>
    <t>город</t>
  </si>
  <si>
    <t>трасса</t>
  </si>
  <si>
    <t>Телефоны для связи:</t>
  </si>
  <si>
    <t>8017-544-92-33</t>
  </si>
  <si>
    <t>8033-302-32-09</t>
  </si>
  <si>
    <t>8029-397-08-57</t>
  </si>
  <si>
    <t>Пантелеенко Ирина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</si>
</sst>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_(* #,##0.00_);_(* \(#,##0.00\);_(* &quot;-&quot;??_);_(@_)"/>
    <numFmt numFmtId="166" formatCode="#,##0.00_ ;\-#,##0.00\ "/>
    <numFmt numFmtId="167" formatCode="#,##0_ ;\-#,##0\ "/>
    <numFmt numFmtId="168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7" fillId="0" borderId="0"/>
    <xf numFmtId="0" fontId="1" fillId="0" borderId="0"/>
    <xf numFmtId="9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3">
    <xf numFmtId="0" fontId="0" fillId="0" borderId="0" xfId="0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19" fillId="0" borderId="0" xfId="1" applyFont="1"/>
    <xf numFmtId="0" fontId="1" fillId="0" borderId="0" xfId="1"/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0" fillId="0" borderId="2" xfId="1" applyFont="1" applyBorder="1" applyAlignment="1"/>
    <xf numFmtId="0" fontId="20" fillId="0" borderId="2" xfId="1" applyFont="1" applyBorder="1" applyAlignment="1">
      <alignment horizontal="right"/>
    </xf>
    <xf numFmtId="49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49" fontId="20" fillId="0" borderId="1" xfId="1" applyNumberFormat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justify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3" fontId="6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left" wrapText="1"/>
    </xf>
    <xf numFmtId="3" fontId="6" fillId="2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justify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49" fontId="6" fillId="3" borderId="1" xfId="1" applyNumberFormat="1" applyFont="1" applyFill="1" applyBorder="1" applyAlignment="1">
      <alignment horizontal="center" vertical="justify" wrapText="1"/>
    </xf>
    <xf numFmtId="0" fontId="6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left" wrapText="1"/>
    </xf>
    <xf numFmtId="3" fontId="6" fillId="3" borderId="1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justify" vertical="top" wrapText="1"/>
    </xf>
    <xf numFmtId="0" fontId="6" fillId="0" borderId="1" xfId="1" applyFont="1" applyBorder="1" applyAlignment="1">
      <alignment horizontal="justify" vertical="top" wrapText="1"/>
    </xf>
    <xf numFmtId="3" fontId="6" fillId="4" borderId="1" xfId="1" applyNumberFormat="1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center" vertical="justify" wrapText="1"/>
    </xf>
    <xf numFmtId="0" fontId="9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/>
    </xf>
    <xf numFmtId="49" fontId="20" fillId="0" borderId="1" xfId="1" applyNumberFormat="1" applyFont="1" applyBorder="1" applyAlignment="1">
      <alignment horizontal="center" vertical="justify" wrapText="1"/>
    </xf>
    <xf numFmtId="0" fontId="20" fillId="3" borderId="1" xfId="1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left" wrapText="1"/>
    </xf>
    <xf numFmtId="0" fontId="21" fillId="0" borderId="0" xfId="1" applyFont="1"/>
    <xf numFmtId="0" fontId="20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1" fontId="6" fillId="0" borderId="1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3" fontId="6" fillId="0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top" wrapText="1"/>
    </xf>
    <xf numFmtId="0" fontId="20" fillId="0" borderId="1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wrapText="1"/>
    </xf>
    <xf numFmtId="1" fontId="6" fillId="3" borderId="1" xfId="1" applyNumberFormat="1" applyFont="1" applyFill="1" applyBorder="1" applyAlignment="1">
      <alignment horizontal="center" wrapText="1"/>
    </xf>
    <xf numFmtId="1" fontId="6" fillId="3" borderId="1" xfId="1" applyNumberFormat="1" applyFont="1" applyFill="1" applyBorder="1" applyAlignment="1">
      <alignment horizontal="center"/>
    </xf>
    <xf numFmtId="49" fontId="26" fillId="3" borderId="1" xfId="1" applyNumberFormat="1" applyFont="1" applyFill="1" applyBorder="1" applyAlignment="1">
      <alignment horizontal="center" vertical="justify" wrapText="1"/>
    </xf>
    <xf numFmtId="0" fontId="26" fillId="3" borderId="1" xfId="1" applyFont="1" applyFill="1" applyBorder="1" applyAlignment="1">
      <alignment vertical="top" wrapText="1"/>
    </xf>
    <xf numFmtId="0" fontId="26" fillId="3" borderId="1" xfId="1" applyFont="1" applyFill="1" applyBorder="1" applyAlignment="1">
      <alignment horizontal="center" vertical="top" wrapText="1"/>
    </xf>
    <xf numFmtId="0" fontId="26" fillId="3" borderId="1" xfId="1" applyFont="1" applyFill="1" applyBorder="1" applyAlignment="1">
      <alignment horizontal="center" wrapText="1"/>
    </xf>
    <xf numFmtId="1" fontId="26" fillId="3" borderId="1" xfId="1" applyNumberFormat="1" applyFont="1" applyFill="1" applyBorder="1" applyAlignment="1">
      <alignment horizontal="center" wrapText="1"/>
    </xf>
    <xf numFmtId="0" fontId="26" fillId="3" borderId="1" xfId="1" applyFont="1" applyFill="1" applyBorder="1" applyAlignment="1">
      <alignment horizontal="center"/>
    </xf>
    <xf numFmtId="3" fontId="26" fillId="3" borderId="1" xfId="1" applyNumberFormat="1" applyFont="1" applyFill="1" applyBorder="1" applyAlignment="1">
      <alignment horizontal="center"/>
    </xf>
    <xf numFmtId="49" fontId="6" fillId="0" borderId="0" xfId="1" applyNumberFormat="1" applyFont="1" applyAlignment="1">
      <alignment horizontal="center" vertical="justify"/>
    </xf>
    <xf numFmtId="0" fontId="6" fillId="0" borderId="0" xfId="1" applyFont="1"/>
    <xf numFmtId="49" fontId="19" fillId="0" borderId="0" xfId="1" applyNumberFormat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wrapText="1" readingOrder="1"/>
    </xf>
    <xf numFmtId="0" fontId="19" fillId="0" borderId="0" xfId="1" applyFont="1" applyAlignment="1">
      <alignment readingOrder="1"/>
    </xf>
    <xf numFmtId="49" fontId="6" fillId="0" borderId="0" xfId="1" applyNumberFormat="1" applyFont="1"/>
    <xf numFmtId="0" fontId="9" fillId="6" borderId="0" xfId="1" applyFont="1" applyFill="1"/>
    <xf numFmtId="0" fontId="10" fillId="6" borderId="0" xfId="1" applyFont="1" applyFill="1" applyAlignment="1">
      <alignment horizontal="center"/>
    </xf>
    <xf numFmtId="0" fontId="2" fillId="0" borderId="0" xfId="1" applyFont="1"/>
    <xf numFmtId="0" fontId="3" fillId="6" borderId="0" xfId="1" applyFont="1" applyFill="1"/>
    <xf numFmtId="3" fontId="3" fillId="6" borderId="0" xfId="1" applyNumberFormat="1" applyFont="1" applyFill="1"/>
    <xf numFmtId="0" fontId="9" fillId="6" borderId="0" xfId="1" applyFont="1" applyFill="1" applyAlignment="1">
      <alignment horizontal="right"/>
    </xf>
    <xf numFmtId="0" fontId="12" fillId="0" borderId="0" xfId="1" applyFont="1"/>
    <xf numFmtId="0" fontId="15" fillId="0" borderId="0" xfId="1" applyFont="1"/>
    <xf numFmtId="0" fontId="14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center" vertical="center"/>
    </xf>
    <xf numFmtId="3" fontId="9" fillId="6" borderId="1" xfId="1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/>
    </xf>
    <xf numFmtId="0" fontId="14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vertical="center" wrapText="1"/>
    </xf>
    <xf numFmtId="0" fontId="14" fillId="6" borderId="1" xfId="1" applyFont="1" applyFill="1" applyBorder="1" applyAlignment="1">
      <alignment horizontal="center" vertical="top" wrapText="1"/>
    </xf>
    <xf numFmtId="0" fontId="14" fillId="6" borderId="1" xfId="1" applyNumberFormat="1" applyFont="1" applyFill="1" applyBorder="1" applyAlignment="1">
      <alignment horizontal="center" vertical="center"/>
    </xf>
    <xf numFmtId="0" fontId="15" fillId="6" borderId="0" xfId="1" applyFont="1" applyFill="1"/>
    <xf numFmtId="0" fontId="4" fillId="6" borderId="0" xfId="1" applyFont="1" applyFill="1"/>
    <xf numFmtId="0" fontId="14" fillId="6" borderId="0" xfId="1" applyFont="1" applyFill="1" applyAlignment="1"/>
    <xf numFmtId="0" fontId="15" fillId="6" borderId="0" xfId="1" applyFont="1" applyFill="1" applyAlignment="1"/>
    <xf numFmtId="0" fontId="14" fillId="0" borderId="0" xfId="1" applyFont="1"/>
    <xf numFmtId="0" fontId="3" fillId="0" borderId="0" xfId="1" applyFont="1"/>
    <xf numFmtId="0" fontId="9" fillId="0" borderId="0" xfId="1" applyFont="1"/>
    <xf numFmtId="0" fontId="9" fillId="0" borderId="0" xfId="1" applyFont="1" applyFill="1" applyBorder="1" applyAlignment="1">
      <alignment vertical="top" wrapText="1"/>
    </xf>
    <xf numFmtId="0" fontId="4" fillId="0" borderId="0" xfId="1" applyFont="1" applyAlignment="1"/>
    <xf numFmtId="3" fontId="3" fillId="0" borderId="0" xfId="1" applyNumberFormat="1" applyFont="1"/>
    <xf numFmtId="0" fontId="10" fillId="0" borderId="0" xfId="1" applyFont="1"/>
    <xf numFmtId="3" fontId="9" fillId="0" borderId="0" xfId="1" applyNumberFormat="1" applyFont="1"/>
    <xf numFmtId="0" fontId="4" fillId="0" borderId="0" xfId="1" applyFont="1"/>
    <xf numFmtId="0" fontId="5" fillId="0" borderId="0" xfId="1" applyFont="1" applyFill="1" applyAlignment="1"/>
    <xf numFmtId="0" fontId="27" fillId="0" borderId="0" xfId="1" applyFont="1" applyFill="1" applyAlignment="1">
      <alignment horizontal="right"/>
    </xf>
    <xf numFmtId="3" fontId="3" fillId="0" borderId="0" xfId="1" applyNumberFormat="1" applyFont="1" applyFill="1"/>
    <xf numFmtId="0" fontId="6" fillId="0" borderId="0" xfId="1" applyFont="1" applyFill="1" applyAlignment="1">
      <alignment horizontal="right"/>
    </xf>
    <xf numFmtId="0" fontId="27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Fill="1"/>
    <xf numFmtId="3" fontId="9" fillId="0" borderId="0" xfId="1" applyNumberFormat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5" fillId="0" borderId="0" xfId="1" applyFont="1" applyFill="1"/>
    <xf numFmtId="0" fontId="9" fillId="0" borderId="0" xfId="1" applyFont="1" applyFill="1"/>
    <xf numFmtId="0" fontId="10" fillId="0" borderId="0" xfId="1" applyFont="1" applyFill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0" xfId="1" applyFont="1" applyFill="1" applyAlignment="1">
      <alignment horizontal="right"/>
    </xf>
    <xf numFmtId="0" fontId="2" fillId="6" borderId="0" xfId="1" applyFont="1" applyFill="1"/>
    <xf numFmtId="0" fontId="10" fillId="6" borderId="1" xfId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/>
    </xf>
    <xf numFmtId="4" fontId="6" fillId="3" borderId="1" xfId="1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6" borderId="1" xfId="1" applyNumberFormat="1" applyFont="1" applyFill="1" applyBorder="1" applyAlignment="1">
      <alignment horizontal="center" vertical="center"/>
    </xf>
    <xf numFmtId="0" fontId="21" fillId="0" borderId="1" xfId="1" applyFont="1" applyBorder="1"/>
    <xf numFmtId="0" fontId="20" fillId="0" borderId="0" xfId="3" applyFont="1" applyAlignment="1"/>
    <xf numFmtId="0" fontId="20" fillId="0" borderId="0" xfId="3" applyFont="1" applyAlignment="1">
      <alignment horizontal="left"/>
    </xf>
    <xf numFmtId="1" fontId="19" fillId="0" borderId="0" xfId="3" applyNumberFormat="1" applyFont="1" applyAlignment="1">
      <alignment horizontal="center"/>
    </xf>
    <xf numFmtId="0" fontId="6" fillId="0" borderId="0" xfId="3" applyFont="1" applyAlignment="1">
      <alignment horizontal="right"/>
    </xf>
    <xf numFmtId="0" fontId="19" fillId="0" borderId="0" xfId="3" applyFont="1"/>
    <xf numFmtId="0" fontId="1" fillId="0" borderId="0" xfId="3"/>
    <xf numFmtId="49" fontId="6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20" fillId="0" borderId="2" xfId="3" applyFont="1" applyBorder="1" applyAlignment="1"/>
    <xf numFmtId="0" fontId="20" fillId="0" borderId="2" xfId="3" applyFont="1" applyBorder="1" applyAlignment="1">
      <alignment horizontal="right"/>
    </xf>
    <xf numFmtId="49" fontId="6" fillId="0" borderId="1" xfId="3" applyNumberFormat="1" applyFont="1" applyBorder="1" applyAlignment="1">
      <alignment horizontal="center" wrapText="1"/>
    </xf>
    <xf numFmtId="0" fontId="6" fillId="0" borderId="1" xfId="3" applyFont="1" applyBorder="1" applyAlignment="1">
      <alignment horizontal="center" vertical="top" wrapText="1"/>
    </xf>
    <xf numFmtId="49" fontId="20" fillId="0" borderId="1" xfId="3" applyNumberFormat="1" applyFont="1" applyBorder="1" applyAlignment="1">
      <alignment horizontal="center" wrapText="1"/>
    </xf>
    <xf numFmtId="49" fontId="6" fillId="0" borderId="1" xfId="3" applyNumberFormat="1" applyFont="1" applyBorder="1" applyAlignment="1">
      <alignment horizontal="center" vertical="justify" wrapText="1"/>
    </xf>
    <xf numFmtId="0" fontId="6" fillId="0" borderId="1" xfId="3" applyFont="1" applyBorder="1" applyAlignment="1">
      <alignment vertical="top" wrapText="1"/>
    </xf>
    <xf numFmtId="0" fontId="6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left" wrapText="1"/>
    </xf>
    <xf numFmtId="3" fontId="6" fillId="0" borderId="1" xfId="3" applyNumberFormat="1" applyFont="1" applyBorder="1" applyAlignment="1">
      <alignment horizontal="center"/>
    </xf>
    <xf numFmtId="4" fontId="6" fillId="0" borderId="1" xfId="3" applyNumberFormat="1" applyFont="1" applyBorder="1" applyAlignment="1">
      <alignment horizontal="center"/>
    </xf>
    <xf numFmtId="0" fontId="9" fillId="0" borderId="1" xfId="3" applyFont="1" applyBorder="1" applyAlignment="1">
      <alignment horizontal="left" wrapText="1"/>
    </xf>
    <xf numFmtId="3" fontId="6" fillId="2" borderId="1" xfId="3" applyNumberFormat="1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justify" wrapText="1"/>
    </xf>
    <xf numFmtId="0" fontId="6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left" wrapText="1"/>
    </xf>
    <xf numFmtId="49" fontId="6" fillId="3" borderId="1" xfId="3" applyNumberFormat="1" applyFont="1" applyFill="1" applyBorder="1" applyAlignment="1">
      <alignment horizontal="center" vertical="justify" wrapText="1"/>
    </xf>
    <xf numFmtId="0" fontId="6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horizontal="center" wrapText="1"/>
    </xf>
    <xf numFmtId="0" fontId="9" fillId="3" borderId="1" xfId="3" applyFont="1" applyFill="1" applyBorder="1" applyAlignment="1">
      <alignment horizontal="left" wrapText="1"/>
    </xf>
    <xf numFmtId="3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justify" vertical="top" wrapText="1"/>
    </xf>
    <xf numFmtId="0" fontId="6" fillId="0" borderId="1" xfId="3" applyFont="1" applyBorder="1" applyAlignment="1">
      <alignment horizontal="justify" vertical="top" wrapText="1"/>
    </xf>
    <xf numFmtId="3" fontId="6" fillId="4" borderId="1" xfId="3" applyNumberFormat="1" applyFont="1" applyFill="1" applyBorder="1" applyAlignment="1">
      <alignment horizontal="center"/>
    </xf>
    <xf numFmtId="49" fontId="6" fillId="3" borderId="3" xfId="3" applyNumberFormat="1" applyFont="1" applyFill="1" applyBorder="1" applyAlignment="1">
      <alignment horizontal="center" vertical="justify" wrapText="1"/>
    </xf>
    <xf numFmtId="4" fontId="6" fillId="3" borderId="1" xfId="3" applyNumberFormat="1" applyFont="1" applyFill="1" applyBorder="1" applyAlignment="1">
      <alignment horizontal="center"/>
    </xf>
    <xf numFmtId="0" fontId="9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horizontal="center"/>
    </xf>
    <xf numFmtId="49" fontId="20" fillId="0" borderId="1" xfId="3" applyNumberFormat="1" applyFont="1" applyBorder="1" applyAlignment="1">
      <alignment horizontal="center" vertical="justify" wrapText="1"/>
    </xf>
    <xf numFmtId="0" fontId="20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horizontal="left" wrapText="1"/>
    </xf>
    <xf numFmtId="0" fontId="21" fillId="0" borderId="1" xfId="3" applyFont="1" applyBorder="1"/>
    <xf numFmtId="0" fontId="21" fillId="0" borderId="0" xfId="3" applyFont="1"/>
    <xf numFmtId="0" fontId="20" fillId="0" borderId="1" xfId="3" applyFont="1" applyBorder="1" applyAlignment="1">
      <alignment horizontal="center" wrapText="1"/>
    </xf>
    <xf numFmtId="0" fontId="8" fillId="0" borderId="1" xfId="3" applyFont="1" applyBorder="1" applyAlignment="1">
      <alignment horizontal="left" wrapText="1"/>
    </xf>
    <xf numFmtId="1" fontId="6" fillId="0" borderId="1" xfId="3" applyNumberFormat="1" applyFont="1" applyBorder="1" applyAlignment="1">
      <alignment horizontal="center"/>
    </xf>
    <xf numFmtId="0" fontId="8" fillId="0" borderId="1" xfId="3" applyFont="1" applyFill="1" applyBorder="1" applyAlignment="1">
      <alignment horizontal="left" wrapText="1"/>
    </xf>
    <xf numFmtId="3" fontId="6" fillId="0" borderId="1" xfId="3" applyNumberFormat="1" applyFont="1" applyFill="1" applyBorder="1" applyAlignment="1">
      <alignment horizontal="center"/>
    </xf>
    <xf numFmtId="0" fontId="6" fillId="0" borderId="1" xfId="3" applyFont="1" applyBorder="1" applyAlignment="1">
      <alignment horizontal="left" vertical="top" wrapText="1"/>
    </xf>
    <xf numFmtId="0" fontId="6" fillId="3" borderId="1" xfId="3" applyFont="1" applyFill="1" applyBorder="1" applyAlignment="1">
      <alignment horizontal="left" vertical="top" wrapText="1"/>
    </xf>
    <xf numFmtId="49" fontId="6" fillId="3" borderId="1" xfId="3" applyNumberFormat="1" applyFont="1" applyFill="1" applyBorder="1" applyAlignment="1">
      <alignment horizontal="center" wrapText="1"/>
    </xf>
    <xf numFmtId="0" fontId="6" fillId="0" borderId="1" xfId="3" applyFont="1" applyFill="1" applyBorder="1" applyAlignment="1">
      <alignment vertical="top" wrapText="1"/>
    </xf>
    <xf numFmtId="0" fontId="20" fillId="0" borderId="1" xfId="3" applyFont="1" applyFill="1" applyBorder="1" applyAlignment="1">
      <alignment horizontal="center" wrapText="1"/>
    </xf>
    <xf numFmtId="4" fontId="6" fillId="0" borderId="1" xfId="3" applyNumberFormat="1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wrapText="1"/>
    </xf>
    <xf numFmtId="1" fontId="6" fillId="3" borderId="1" xfId="3" applyNumberFormat="1" applyFont="1" applyFill="1" applyBorder="1" applyAlignment="1">
      <alignment horizontal="center" wrapText="1"/>
    </xf>
    <xf numFmtId="1" fontId="6" fillId="3" borderId="1" xfId="3" applyNumberFormat="1" applyFont="1" applyFill="1" applyBorder="1" applyAlignment="1">
      <alignment horizontal="center"/>
    </xf>
    <xf numFmtId="49" fontId="26" fillId="3" borderId="1" xfId="3" applyNumberFormat="1" applyFont="1" applyFill="1" applyBorder="1" applyAlignment="1">
      <alignment horizontal="center" vertical="justify" wrapText="1"/>
    </xf>
    <xf numFmtId="0" fontId="26" fillId="3" borderId="1" xfId="3" applyFont="1" applyFill="1" applyBorder="1" applyAlignment="1">
      <alignment vertical="top" wrapText="1"/>
    </xf>
    <xf numFmtId="0" fontId="26" fillId="3" borderId="1" xfId="3" applyFont="1" applyFill="1" applyBorder="1" applyAlignment="1">
      <alignment horizontal="center" vertical="top" wrapText="1"/>
    </xf>
    <xf numFmtId="0" fontId="26" fillId="3" borderId="1" xfId="3" applyFont="1" applyFill="1" applyBorder="1" applyAlignment="1">
      <alignment horizontal="center" wrapText="1"/>
    </xf>
    <xf numFmtId="1" fontId="26" fillId="3" borderId="1" xfId="3" applyNumberFormat="1" applyFont="1" applyFill="1" applyBorder="1" applyAlignment="1">
      <alignment horizontal="center" wrapText="1"/>
    </xf>
    <xf numFmtId="0" fontId="26" fillId="3" borderId="1" xfId="3" applyFont="1" applyFill="1" applyBorder="1" applyAlignment="1">
      <alignment horizontal="center"/>
    </xf>
    <xf numFmtId="3" fontId="26" fillId="3" borderId="1" xfId="3" applyNumberFormat="1" applyFont="1" applyFill="1" applyBorder="1" applyAlignment="1">
      <alignment horizontal="center"/>
    </xf>
    <xf numFmtId="49" fontId="6" fillId="0" borderId="0" xfId="3" applyNumberFormat="1" applyFont="1" applyAlignment="1">
      <alignment horizontal="center" vertical="justify"/>
    </xf>
    <xf numFmtId="0" fontId="6" fillId="0" borderId="0" xfId="3" applyFont="1"/>
    <xf numFmtId="0" fontId="6" fillId="0" borderId="0" xfId="3" applyFont="1" applyAlignment="1">
      <alignment wrapText="1" readingOrder="1"/>
    </xf>
    <xf numFmtId="0" fontId="19" fillId="0" borderId="0" xfId="3" applyFont="1" applyAlignment="1">
      <alignment readingOrder="1"/>
    </xf>
    <xf numFmtId="49" fontId="6" fillId="0" borderId="0" xfId="3" applyNumberFormat="1" applyFont="1"/>
    <xf numFmtId="49" fontId="19" fillId="0" borderId="0" xfId="3" applyNumberFormat="1" applyFont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166" fontId="30" fillId="7" borderId="1" xfId="0" applyNumberFormat="1" applyFont="1" applyFill="1" applyBorder="1" applyAlignment="1">
      <alignment horizontal="center" vertical="center"/>
    </xf>
    <xf numFmtId="167" fontId="30" fillId="7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wrapText="1"/>
    </xf>
    <xf numFmtId="0" fontId="29" fillId="7" borderId="1" xfId="0" applyFont="1" applyFill="1" applyBorder="1" applyAlignment="1">
      <alignment vertical="center"/>
    </xf>
    <xf numFmtId="0" fontId="30" fillId="7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0" xfId="0" applyFont="1" applyBorder="1"/>
    <xf numFmtId="0" fontId="30" fillId="0" borderId="0" xfId="0" applyFont="1"/>
    <xf numFmtId="0" fontId="31" fillId="0" borderId="0" xfId="0" applyFont="1"/>
    <xf numFmtId="164" fontId="30" fillId="0" borderId="0" xfId="0" applyNumberFormat="1" applyFont="1" applyBorder="1"/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/>
    <xf numFmtId="0" fontId="8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20" fillId="0" borderId="0" xfId="3" applyFont="1" applyBorder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/>
    <xf numFmtId="0" fontId="19" fillId="0" borderId="0" xfId="3" applyFont="1" applyAlignment="1"/>
    <xf numFmtId="0" fontId="20" fillId="0" borderId="0" xfId="1" applyFont="1" applyBorder="1" applyAlignment="1">
      <alignment horizontal="center"/>
    </xf>
    <xf numFmtId="0" fontId="6" fillId="0" borderId="0" xfId="1" applyFont="1" applyAlignment="1"/>
    <xf numFmtId="0" fontId="19" fillId="0" borderId="0" xfId="1" applyFont="1" applyAlignment="1"/>
    <xf numFmtId="3" fontId="6" fillId="0" borderId="0" xfId="1" applyNumberFormat="1" applyFont="1" applyFill="1" applyAlignment="1"/>
    <xf numFmtId="0" fontId="14" fillId="0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6" fillId="0" borderId="0" xfId="0" applyFont="1"/>
    <xf numFmtId="3" fontId="6" fillId="0" borderId="0" xfId="1" applyNumberFormat="1" applyFont="1" applyAlignment="1"/>
    <xf numFmtId="0" fontId="19" fillId="0" borderId="0" xfId="0" applyFont="1"/>
    <xf numFmtId="164" fontId="6" fillId="0" borderId="0" xfId="0" applyNumberFormat="1" applyFont="1" applyBorder="1"/>
    <xf numFmtId="0" fontId="14" fillId="6" borderId="6" xfId="1" applyFont="1" applyFill="1" applyBorder="1" applyAlignment="1">
      <alignment horizontal="center" vertical="top" wrapText="1"/>
    </xf>
    <xf numFmtId="0" fontId="14" fillId="6" borderId="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3" fontId="9" fillId="6" borderId="0" xfId="1" applyNumberFormat="1" applyFont="1" applyFill="1" applyBorder="1" applyAlignment="1">
      <alignment horizontal="center" vertical="center"/>
    </xf>
    <xf numFmtId="4" fontId="9" fillId="6" borderId="0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3" fillId="0" borderId="0" xfId="0" applyFont="1"/>
    <xf numFmtId="164" fontId="9" fillId="0" borderId="0" xfId="0" applyNumberFormat="1" applyFont="1" applyBorder="1"/>
    <xf numFmtId="0" fontId="24" fillId="0" borderId="0" xfId="0" applyFont="1" applyAlignment="1">
      <alignment horizontal="center" vertical="center"/>
    </xf>
    <xf numFmtId="0" fontId="1" fillId="0" borderId="0" xfId="3" applyFont="1"/>
    <xf numFmtId="0" fontId="2" fillId="0" borderId="0" xfId="3" applyFont="1" applyAlignment="1"/>
    <xf numFmtId="0" fontId="8" fillId="0" borderId="0" xfId="3" applyFont="1" applyAlignment="1"/>
    <xf numFmtId="0" fontId="6" fillId="0" borderId="3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wrapText="1"/>
    </xf>
    <xf numFmtId="0" fontId="9" fillId="0" borderId="3" xfId="3" applyFont="1" applyBorder="1" applyAlignment="1">
      <alignment horizontal="left" wrapText="1"/>
    </xf>
    <xf numFmtId="3" fontId="6" fillId="4" borderId="3" xfId="3" applyNumberFormat="1" applyFont="1" applyFill="1" applyBorder="1" applyAlignment="1">
      <alignment horizontal="center"/>
    </xf>
    <xf numFmtId="3" fontId="6" fillId="0" borderId="3" xfId="3" applyNumberFormat="1" applyFont="1" applyBorder="1" applyAlignment="1">
      <alignment horizontal="center"/>
    </xf>
    <xf numFmtId="0" fontId="6" fillId="3" borderId="6" xfId="3" applyFont="1" applyFill="1" applyBorder="1" applyAlignment="1">
      <alignment vertical="top" wrapText="1"/>
    </xf>
    <xf numFmtId="0" fontId="20" fillId="3" borderId="6" xfId="3" applyFont="1" applyFill="1" applyBorder="1" applyAlignment="1">
      <alignment horizontal="center" wrapText="1"/>
    </xf>
    <xf numFmtId="0" fontId="8" fillId="3" borderId="6" xfId="3" applyFont="1" applyFill="1" applyBorder="1" applyAlignment="1">
      <alignment horizontal="left" wrapText="1"/>
    </xf>
    <xf numFmtId="0" fontId="6" fillId="3" borderId="6" xfId="3" applyFont="1" applyFill="1" applyBorder="1" applyAlignment="1">
      <alignment horizontal="center" wrapText="1"/>
    </xf>
    <xf numFmtId="3" fontId="6" fillId="3" borderId="6" xfId="3" applyNumberFormat="1" applyFont="1" applyFill="1" applyBorder="1" applyAlignment="1">
      <alignment horizontal="center"/>
    </xf>
    <xf numFmtId="3" fontId="6" fillId="0" borderId="6" xfId="3" applyNumberFormat="1" applyFont="1" applyBorder="1" applyAlignment="1">
      <alignment horizontal="center"/>
    </xf>
    <xf numFmtId="165" fontId="6" fillId="0" borderId="1" xfId="6" applyFont="1" applyBorder="1" applyAlignment="1">
      <alignment horizontal="center"/>
    </xf>
    <xf numFmtId="4" fontId="6" fillId="0" borderId="1" xfId="6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3" fontId="6" fillId="8" borderId="1" xfId="3" applyNumberFormat="1" applyFont="1" applyFill="1" applyBorder="1" applyAlignment="1">
      <alignment horizontal="center"/>
    </xf>
    <xf numFmtId="0" fontId="1" fillId="0" borderId="0" xfId="1" applyFont="1"/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wrapText="1"/>
    </xf>
    <xf numFmtId="0" fontId="9" fillId="0" borderId="3" xfId="1" applyFont="1" applyBorder="1" applyAlignment="1">
      <alignment horizontal="left" wrapText="1"/>
    </xf>
    <xf numFmtId="3" fontId="6" fillId="4" borderId="3" xfId="1" applyNumberFormat="1" applyFont="1" applyFill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4" fontId="6" fillId="0" borderId="3" xfId="1" applyNumberFormat="1" applyFont="1" applyBorder="1" applyAlignment="1">
      <alignment horizontal="center"/>
    </xf>
    <xf numFmtId="0" fontId="6" fillId="3" borderId="6" xfId="1" applyFont="1" applyFill="1" applyBorder="1" applyAlignment="1">
      <alignment vertical="top" wrapText="1"/>
    </xf>
    <xf numFmtId="0" fontId="20" fillId="3" borderId="6" xfId="1" applyFont="1" applyFill="1" applyBorder="1" applyAlignment="1">
      <alignment horizontal="center" wrapText="1"/>
    </xf>
    <xf numFmtId="0" fontId="8" fillId="3" borderId="6" xfId="1" applyFont="1" applyFill="1" applyBorder="1" applyAlignment="1">
      <alignment horizontal="left" wrapText="1"/>
    </xf>
    <xf numFmtId="0" fontId="6" fillId="3" borderId="6" xfId="1" applyFont="1" applyFill="1" applyBorder="1" applyAlignment="1">
      <alignment horizontal="center" wrapText="1"/>
    </xf>
    <xf numFmtId="3" fontId="6" fillId="3" borderId="6" xfId="1" applyNumberFormat="1" applyFont="1" applyFill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165" fontId="6" fillId="0" borderId="1" xfId="7" applyFont="1" applyBorder="1" applyAlignment="1">
      <alignment horizontal="center"/>
    </xf>
    <xf numFmtId="4" fontId="6" fillId="0" borderId="1" xfId="7" applyNumberFormat="1" applyFont="1" applyBorder="1" applyAlignment="1">
      <alignment horizontal="center"/>
    </xf>
    <xf numFmtId="0" fontId="6" fillId="3" borderId="3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wrapText="1"/>
    </xf>
    <xf numFmtId="0" fontId="9" fillId="3" borderId="3" xfId="1" applyFont="1" applyFill="1" applyBorder="1" applyAlignment="1">
      <alignment horizontal="left" wrapText="1"/>
    </xf>
    <xf numFmtId="3" fontId="6" fillId="3" borderId="3" xfId="1" applyNumberFormat="1" applyFont="1" applyFill="1" applyBorder="1" applyAlignment="1">
      <alignment horizontal="center"/>
    </xf>
    <xf numFmtId="0" fontId="1" fillId="0" borderId="1" xfId="1" applyFont="1" applyBorder="1"/>
    <xf numFmtId="0" fontId="1" fillId="5" borderId="0" xfId="1" applyFont="1" applyFill="1"/>
    <xf numFmtId="0" fontId="1" fillId="0" borderId="8" xfId="1" applyFont="1" applyBorder="1"/>
    <xf numFmtId="3" fontId="6" fillId="8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0" fillId="0" borderId="7" xfId="0" applyFont="1" applyBorder="1" applyAlignment="1">
      <alignment vertical="center"/>
    </xf>
    <xf numFmtId="168" fontId="9" fillId="0" borderId="0" xfId="0" applyNumberFormat="1" applyFont="1"/>
    <xf numFmtId="0" fontId="20" fillId="7" borderId="7" xfId="0" applyFont="1" applyFill="1" applyBorder="1" applyAlignment="1">
      <alignment vertical="center"/>
    </xf>
    <xf numFmtId="167" fontId="30" fillId="7" borderId="7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3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3" fontId="11" fillId="0" borderId="1" xfId="1" applyNumberFormat="1" applyFont="1" applyFill="1" applyBorder="1" applyAlignment="1">
      <alignment horizontal="center" vertical="center" textRotation="90" wrapText="1"/>
    </xf>
    <xf numFmtId="3" fontId="6" fillId="0" borderId="0" xfId="1" applyNumberFormat="1" applyFont="1" applyAlignment="1">
      <alignment horizontal="right"/>
    </xf>
    <xf numFmtId="0" fontId="20" fillId="6" borderId="0" xfId="1" applyFont="1" applyFill="1" applyAlignment="1">
      <alignment horizontal="center"/>
    </xf>
    <xf numFmtId="0" fontId="20" fillId="6" borderId="0" xfId="1" applyFont="1" applyFill="1" applyAlignment="1">
      <alignment horizontal="center" vertical="center" wrapText="1"/>
    </xf>
    <xf numFmtId="0" fontId="5" fillId="6" borderId="0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textRotation="90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0" fillId="0" borderId="7" xfId="0" applyBorder="1" applyAlignment="1"/>
    <xf numFmtId="0" fontId="8" fillId="0" borderId="7" xfId="1" applyFont="1" applyFill="1" applyBorder="1" applyAlignment="1">
      <alignment horizontal="center" vertical="top" wrapText="1"/>
    </xf>
    <xf numFmtId="0" fontId="8" fillId="6" borderId="5" xfId="1" applyFont="1" applyFill="1" applyBorder="1" applyAlignment="1">
      <alignment horizontal="center" vertical="top" wrapText="1"/>
    </xf>
    <xf numFmtId="0" fontId="8" fillId="6" borderId="4" xfId="1" applyFont="1" applyFill="1" applyBorder="1" applyAlignment="1">
      <alignment horizontal="center" vertical="top" wrapText="1"/>
    </xf>
    <xf numFmtId="0" fontId="8" fillId="6" borderId="1" xfId="1" applyFont="1" applyFill="1" applyBorder="1" applyAlignment="1">
      <alignment horizontal="center" vertical="top" wrapText="1"/>
    </xf>
    <xf numFmtId="0" fontId="0" fillId="0" borderId="1" xfId="0" applyBorder="1" applyAlignment="1"/>
    <xf numFmtId="0" fontId="8" fillId="0" borderId="5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9" fillId="6" borderId="5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24" fillId="6" borderId="0" xfId="1" applyFont="1" applyFill="1" applyAlignment="1">
      <alignment horizontal="center"/>
    </xf>
    <xf numFmtId="0" fontId="24" fillId="6" borderId="0" xfId="1" applyFont="1" applyFill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top" wrapText="1"/>
    </xf>
    <xf numFmtId="0" fontId="8" fillId="6" borderId="5" xfId="1" applyFont="1" applyFill="1" applyBorder="1" applyAlignment="1">
      <alignment horizontal="center" wrapText="1"/>
    </xf>
    <xf numFmtId="0" fontId="8" fillId="6" borderId="4" xfId="1" applyFont="1" applyFill="1" applyBorder="1" applyAlignment="1">
      <alignment horizontal="center" wrapText="1"/>
    </xf>
    <xf numFmtId="0" fontId="8" fillId="6" borderId="7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justify" vertical="top" wrapText="1"/>
    </xf>
    <xf numFmtId="0" fontId="15" fillId="0" borderId="0" xfId="1" applyFont="1" applyAlignment="1">
      <alignment horizontal="justify"/>
    </xf>
    <xf numFmtId="3" fontId="6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/>
    <xf numFmtId="0" fontId="20" fillId="0" borderId="0" xfId="1" applyFont="1" applyFill="1" applyAlignment="1">
      <alignment horizontal="center"/>
    </xf>
    <xf numFmtId="0" fontId="20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>
      <alignment horizontal="center" vertical="center" textRotation="90" wrapText="1"/>
    </xf>
    <xf numFmtId="3" fontId="11" fillId="0" borderId="6" xfId="1" applyNumberFormat="1" applyFont="1" applyFill="1" applyBorder="1" applyAlignment="1">
      <alignment horizontal="center" vertical="center" textRotation="90" wrapText="1"/>
    </xf>
    <xf numFmtId="3" fontId="13" fillId="0" borderId="3" xfId="1" applyNumberFormat="1" applyFont="1" applyFill="1" applyBorder="1" applyAlignment="1">
      <alignment horizontal="center" vertical="center" textRotation="90" wrapText="1"/>
    </xf>
    <xf numFmtId="3" fontId="13" fillId="0" borderId="6" xfId="1" applyNumberFormat="1" applyFont="1" applyFill="1" applyBorder="1" applyAlignment="1">
      <alignment horizontal="center" vertical="center" textRotation="90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textRotation="90" wrapText="1"/>
    </xf>
    <xf numFmtId="0" fontId="6" fillId="6" borderId="0" xfId="1" applyFont="1" applyFill="1" applyAlignment="1">
      <alignment horizontal="center"/>
    </xf>
    <xf numFmtId="0" fontId="6" fillId="6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textRotation="90" wrapText="1"/>
    </xf>
    <xf numFmtId="0" fontId="6" fillId="3" borderId="5" xfId="3" applyFont="1" applyFill="1" applyBorder="1" applyAlignment="1">
      <alignment horizontal="center" vertical="top" wrapText="1"/>
    </xf>
    <xf numFmtId="0" fontId="6" fillId="3" borderId="4" xfId="3" applyFont="1" applyFill="1" applyBorder="1" applyAlignment="1">
      <alignment horizontal="center" vertical="top" wrapText="1"/>
    </xf>
    <xf numFmtId="0" fontId="6" fillId="3" borderId="7" xfId="3" applyFont="1" applyFill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49" fontId="6" fillId="0" borderId="3" xfId="3" applyNumberFormat="1" applyFont="1" applyBorder="1" applyAlignment="1">
      <alignment horizontal="center" vertical="justify" wrapText="1"/>
    </xf>
    <xf numFmtId="49" fontId="6" fillId="0" borderId="8" xfId="3" applyNumberFormat="1" applyFont="1" applyBorder="1" applyAlignment="1">
      <alignment horizontal="center" vertical="justify" wrapText="1"/>
    </xf>
    <xf numFmtId="49" fontId="6" fillId="0" borderId="6" xfId="3" applyNumberFormat="1" applyFont="1" applyBorder="1" applyAlignment="1">
      <alignment horizontal="center" vertical="justify" wrapText="1"/>
    </xf>
    <xf numFmtId="0" fontId="6" fillId="0" borderId="3" xfId="3" applyFont="1" applyBorder="1" applyAlignment="1">
      <alignment horizontal="left" vertical="top" wrapText="1"/>
    </xf>
    <xf numFmtId="0" fontId="6" fillId="0" borderId="8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left" vertical="top" wrapText="1"/>
    </xf>
    <xf numFmtId="0" fontId="6" fillId="0" borderId="5" xfId="3" applyFont="1" applyBorder="1" applyAlignment="1">
      <alignment horizontal="center" vertical="top" wrapText="1"/>
    </xf>
    <xf numFmtId="0" fontId="1" fillId="0" borderId="4" xfId="3" applyBorder="1" applyAlignment="1">
      <alignment horizontal="center"/>
    </xf>
    <xf numFmtId="0" fontId="1" fillId="0" borderId="7" xfId="3" applyBorder="1" applyAlignment="1">
      <alignment horizontal="center"/>
    </xf>
    <xf numFmtId="0" fontId="20" fillId="0" borderId="0" xfId="3" applyFont="1" applyAlignment="1">
      <alignment horizontal="center"/>
    </xf>
    <xf numFmtId="0" fontId="20" fillId="0" borderId="0" xfId="3" applyFont="1" applyAlignment="1">
      <alignment horizontal="center" wrapText="1"/>
    </xf>
    <xf numFmtId="0" fontId="20" fillId="0" borderId="0" xfId="3" applyFont="1" applyBorder="1" applyAlignment="1">
      <alignment horizontal="center"/>
    </xf>
    <xf numFmtId="49" fontId="6" fillId="0" borderId="3" xfId="3" applyNumberFormat="1" applyFont="1" applyBorder="1" applyAlignment="1">
      <alignment horizontal="center" vertical="center" wrapText="1"/>
    </xf>
    <xf numFmtId="49" fontId="6" fillId="0" borderId="6" xfId="3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right"/>
    </xf>
    <xf numFmtId="0" fontId="6" fillId="3" borderId="5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0" borderId="0" xfId="1" applyFont="1" applyAlignment="1"/>
    <xf numFmtId="0" fontId="19" fillId="0" borderId="0" xfId="1" applyFont="1" applyAlignment="1"/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top" wrapText="1"/>
    </xf>
    <xf numFmtId="0" fontId="20" fillId="0" borderId="4" xfId="1" applyFont="1" applyBorder="1" applyAlignment="1">
      <alignment horizontal="center" vertical="top" wrapText="1"/>
    </xf>
    <xf numFmtId="0" fontId="20" fillId="0" borderId="7" xfId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justify" wrapText="1"/>
    </xf>
    <xf numFmtId="49" fontId="6" fillId="0" borderId="8" xfId="1" applyNumberFormat="1" applyFont="1" applyBorder="1" applyAlignment="1">
      <alignment horizontal="center" vertical="justify" wrapText="1"/>
    </xf>
    <xf numFmtId="49" fontId="6" fillId="0" borderId="6" xfId="1" applyNumberFormat="1" applyFont="1" applyBorder="1" applyAlignment="1">
      <alignment horizontal="center" vertical="justify" wrapText="1"/>
    </xf>
    <xf numFmtId="0" fontId="6" fillId="0" borderId="3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20" fillId="0" borderId="0" xfId="1" applyFont="1" applyAlignment="1">
      <alignment horizontal="center"/>
    </xf>
    <xf numFmtId="0" fontId="20" fillId="0" borderId="0" xfId="1" applyFont="1" applyBorder="1" applyAlignment="1">
      <alignment horizontal="center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2" xfId="0" applyFont="1" applyBorder="1" applyAlignment="1">
      <alignment horizontal="right"/>
    </xf>
    <xf numFmtId="0" fontId="33" fillId="0" borderId="1" xfId="0" applyFont="1" applyBorder="1"/>
    <xf numFmtId="0" fontId="33" fillId="0" borderId="1" xfId="0" applyFont="1" applyBorder="1" applyAlignment="1">
      <alignment wrapText="1"/>
    </xf>
    <xf numFmtId="2" fontId="33" fillId="0" borderId="1" xfId="0" applyNumberFormat="1" applyFont="1" applyBorder="1"/>
    <xf numFmtId="0" fontId="33" fillId="0" borderId="0" xfId="0" applyFont="1" applyAlignment="1">
      <alignment horizontal="left" wrapText="1"/>
    </xf>
    <xf numFmtId="14" fontId="34" fillId="0" borderId="0" xfId="0" applyNumberFormat="1" applyFont="1"/>
  </cellXfs>
  <cellStyles count="8">
    <cellStyle name="Обычный" xfId="0" builtinId="0"/>
    <cellStyle name="Обычный 2" xfId="1"/>
    <cellStyle name="Обычный 3" xfId="2"/>
    <cellStyle name="Обычный_для слушателей сентябрь 2015" xfId="3"/>
    <cellStyle name="Процентный 2" xfId="4"/>
    <cellStyle name="Финансовый 2" xfId="5"/>
    <cellStyle name="Финансовый 2 2" xfId="7"/>
    <cellStyle name="Финансовый_для слушателей сентябрь 2015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2;&#1072;&#1076;&#1088;&#1086;&#1074;/8/&#1055;&#1072;&#1085;&#1090;&#1077;&#1083;&#1077;&#1077;&#1085;&#1082;&#1086;/&#1055;&#1088;&#1077;&#1081;&#1089;&#1082;&#1091;&#1088;&#1072;&#1085;&#1090;&#1099;/&#1055;&#1088;&#1077;&#1081;&#1089;&#1082;&#1091;&#1088;&#1072;&#1085;&#1090;%20&#1084;&#1077;&#1076;&#1080;&#1094;&#1080;&#1085;&#1072;%20&#1085;&#1072;%2019%20&#1092;&#1077;&#1074;&#1088;&#1072;&#1083;&#1103;%202016%20-%20&#1084;&#1083;&#109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2;&#1072;&#1076;&#1088;&#1086;&#1074;/8/&#1055;&#1072;&#1085;&#1090;&#1077;&#1083;&#1077;&#1077;&#1085;&#1082;&#1086;/&#1055;&#1088;&#1077;&#1081;&#1089;&#1082;&#1091;&#1088;&#1072;&#1085;&#1090;&#1099;/&#1076;&#1083;&#1103;%20&#1089;&#1083;&#1091;&#1096;&#1072;&#1090;&#1077;&#1083;&#1077;&#1081;%20&#1089;&#1077;&#1085;&#1090;&#1103;&#1073;&#1088;&#1100;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2;&#1072;&#1076;&#1088;&#1086;&#1074;/8/2015/&#1057;&#1090;&#1086;&#1084;&#1072;&#1090;&#1086;&#1083;&#1086;&#1075;&#1080;&#1103;/&#1089;%201%20&#1086;&#1082;&#1090;&#1103;&#1073;&#1088;&#1103;/&#1076;&#1083;&#1103;%20&#1075;&#1088;&#1072;&#1078;&#1076;&#1072;&#1085;%20&#1056;&#1041;%20&#1089;%20&#1089;&#1077;&#1085;&#1090;&#1103;&#1073;&#1088;&#1100;%20%20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2;&#1072;&#1076;&#1088;&#1086;&#1074;/8/2015/&#1057;&#1090;&#1086;&#1084;&#1072;&#1090;&#1086;&#1083;&#1086;&#1075;&#1080;&#1103;/&#1089;%201%20&#1086;&#1082;&#1090;&#1103;&#1073;&#1088;&#1103;/&#1076;&#1083;&#1103;%20&#1080;&#1085;&#1086;&#1089;&#1090;&#1088;.%20&#1075;&#1088;&#1072;&#1078;&#1076;&#1072;&#1085;%20&#1089;&#1077;&#1085;&#1090;&#1103;&#1073;&#1088;&#1100;%20%202015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"/>
      <sheetName val="сравнение"/>
      <sheetName val="кальк. массаж"/>
      <sheetName val="кальк. физ."/>
      <sheetName val="кальк. УЗИ"/>
      <sheetName val="ЗП массаж"/>
      <sheetName val="ЗП физ. и тер."/>
      <sheetName val="ЗП УЗИ"/>
      <sheetName val="бюджет "/>
      <sheetName val="хозрасчет"/>
      <sheetName val="накладные"/>
      <sheetName val="материалы"/>
    </sheetNames>
    <sheetDataSet>
      <sheetData sheetId="0" refreshError="1"/>
      <sheetData sheetId="1" refreshError="1"/>
      <sheetData sheetId="2">
        <row r="25">
          <cell r="T25">
            <v>26009.749508196121</v>
          </cell>
        </row>
        <row r="27">
          <cell r="T27">
            <v>17932.237272502094</v>
          </cell>
        </row>
        <row r="30">
          <cell r="T30">
            <v>32502.180056410045</v>
          </cell>
        </row>
        <row r="32">
          <cell r="T32">
            <v>40027.315340406451</v>
          </cell>
        </row>
      </sheetData>
      <sheetData sheetId="3">
        <row r="13">
          <cell r="T13">
            <v>16155.516284973099</v>
          </cell>
        </row>
        <row r="15">
          <cell r="T15">
            <v>21540.688379964133</v>
          </cell>
        </row>
        <row r="18">
          <cell r="T18">
            <v>21540.688379964133</v>
          </cell>
        </row>
        <row r="19">
          <cell r="T19">
            <v>10770.344189982066</v>
          </cell>
        </row>
        <row r="22">
          <cell r="T22">
            <v>10770.344189982066</v>
          </cell>
        </row>
        <row r="23">
          <cell r="T23">
            <v>10770.344189982066</v>
          </cell>
        </row>
        <row r="24">
          <cell r="T24">
            <v>10770.344189982066</v>
          </cell>
        </row>
        <row r="27">
          <cell r="T27">
            <v>21540.688379964133</v>
          </cell>
        </row>
        <row r="28">
          <cell r="T28">
            <v>21540.688379964133</v>
          </cell>
        </row>
        <row r="29">
          <cell r="T29">
            <v>26925.860474955167</v>
          </cell>
        </row>
        <row r="30">
          <cell r="T30">
            <v>26925.860474955167</v>
          </cell>
        </row>
        <row r="31">
          <cell r="T31">
            <v>26925.860474955167</v>
          </cell>
        </row>
        <row r="34">
          <cell r="T34">
            <v>12062.785492779914</v>
          </cell>
        </row>
        <row r="38">
          <cell r="T38">
            <v>51439.163851354351</v>
          </cell>
        </row>
        <row r="46">
          <cell r="T46">
            <v>29726.149964350501</v>
          </cell>
        </row>
        <row r="48">
          <cell r="T48">
            <v>21540.688379964133</v>
          </cell>
        </row>
      </sheetData>
      <sheetData sheetId="4">
        <row r="14">
          <cell r="T14">
            <v>32940.447897130907</v>
          </cell>
        </row>
        <row r="18">
          <cell r="T18">
            <v>32940.447897130907</v>
          </cell>
        </row>
        <row r="22">
          <cell r="T22">
            <v>21960.298598087269</v>
          </cell>
        </row>
        <row r="29">
          <cell r="T29">
            <v>43920.597196174538</v>
          </cell>
        </row>
        <row r="31">
          <cell r="T31">
            <v>21960.298598087269</v>
          </cell>
        </row>
        <row r="33">
          <cell r="T33">
            <v>32940.447897130907</v>
          </cell>
        </row>
        <row r="35">
          <cell r="T35">
            <v>54900.746495218176</v>
          </cell>
        </row>
        <row r="37">
          <cell r="T37">
            <v>65880.895794261814</v>
          </cell>
        </row>
        <row r="41">
          <cell r="T41">
            <v>32940.447897130907</v>
          </cell>
        </row>
        <row r="43">
          <cell r="T43">
            <v>43920.597196174538</v>
          </cell>
        </row>
        <row r="45">
          <cell r="T45">
            <v>43920.597196174538</v>
          </cell>
        </row>
        <row r="47">
          <cell r="T47">
            <v>109801.49299043635</v>
          </cell>
        </row>
        <row r="50">
          <cell r="T50">
            <v>43920.597196174538</v>
          </cell>
        </row>
        <row r="52">
          <cell r="T52">
            <v>21960.298598087269</v>
          </cell>
        </row>
        <row r="54">
          <cell r="T54">
            <v>43920.597196174538</v>
          </cell>
        </row>
        <row r="56">
          <cell r="T56">
            <v>21960.298598087269</v>
          </cell>
        </row>
        <row r="58">
          <cell r="T58">
            <v>87841.194392349076</v>
          </cell>
        </row>
        <row r="60">
          <cell r="T60">
            <v>65880.895794261814</v>
          </cell>
        </row>
        <row r="62">
          <cell r="T62">
            <v>65880.895794261814</v>
          </cell>
        </row>
        <row r="64">
          <cell r="T64">
            <v>65880.895794261814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3">
          <cell r="K33">
            <v>294.95047058823531</v>
          </cell>
        </row>
        <row r="39">
          <cell r="K39">
            <v>294.95047058823531</v>
          </cell>
        </row>
        <row r="45">
          <cell r="K45">
            <v>328.4733333333333</v>
          </cell>
        </row>
        <row r="51">
          <cell r="K51">
            <v>329.3664705882353</v>
          </cell>
        </row>
        <row r="58">
          <cell r="K58">
            <v>218.774</v>
          </cell>
        </row>
        <row r="63">
          <cell r="K63">
            <v>218.774</v>
          </cell>
        </row>
        <row r="68">
          <cell r="K68">
            <v>218.774</v>
          </cell>
        </row>
        <row r="74">
          <cell r="K74">
            <v>811.1253333333334</v>
          </cell>
        </row>
        <row r="83">
          <cell r="K83">
            <v>1758.2933333333333</v>
          </cell>
        </row>
        <row r="92">
          <cell r="K92">
            <v>124.03999999999999</v>
          </cell>
        </row>
        <row r="95">
          <cell r="K95">
            <v>190.79000000000002</v>
          </cell>
        </row>
        <row r="99">
          <cell r="K99">
            <v>218.774</v>
          </cell>
        </row>
        <row r="105">
          <cell r="K105">
            <v>142.92000000000002</v>
          </cell>
        </row>
        <row r="111">
          <cell r="K111">
            <v>21641.651399999999</v>
          </cell>
        </row>
        <row r="117">
          <cell r="K117">
            <v>29341.651399999999</v>
          </cell>
        </row>
        <row r="123">
          <cell r="K123">
            <v>4144.9480000000003</v>
          </cell>
        </row>
        <row r="130">
          <cell r="K130">
            <v>958.1</v>
          </cell>
        </row>
        <row r="136">
          <cell r="K136">
            <v>1071.8399999999999</v>
          </cell>
        </row>
        <row r="142">
          <cell r="K142">
            <v>1071.8399999999999</v>
          </cell>
        </row>
        <row r="148">
          <cell r="K148">
            <v>1071.8399999999999</v>
          </cell>
        </row>
        <row r="156">
          <cell r="K156">
            <v>617.55163636363636</v>
          </cell>
        </row>
        <row r="164">
          <cell r="K164">
            <v>450.47436000000005</v>
          </cell>
        </row>
        <row r="172">
          <cell r="K172">
            <v>450.47436000000005</v>
          </cell>
        </row>
        <row r="181">
          <cell r="K181">
            <v>450.47436000000005</v>
          </cell>
        </row>
        <row r="189">
          <cell r="K189">
            <v>450.47436000000005</v>
          </cell>
        </row>
        <row r="197">
          <cell r="K197">
            <v>450.47436000000005</v>
          </cell>
        </row>
        <row r="205">
          <cell r="K205">
            <v>450.47436000000005</v>
          </cell>
        </row>
        <row r="213">
          <cell r="K213">
            <v>450.47436000000005</v>
          </cell>
        </row>
        <row r="229">
          <cell r="K229">
            <v>4300.4743600000002</v>
          </cell>
        </row>
        <row r="238">
          <cell r="K238">
            <v>450.47436000000005</v>
          </cell>
        </row>
        <row r="246">
          <cell r="K246">
            <v>4300.4743600000002</v>
          </cell>
        </row>
        <row r="255">
          <cell r="K255">
            <v>450.47436000000005</v>
          </cell>
        </row>
        <row r="264">
          <cell r="K264">
            <v>450.47436000000005</v>
          </cell>
        </row>
        <row r="272">
          <cell r="K272">
            <v>450.47436000000005</v>
          </cell>
        </row>
        <row r="280">
          <cell r="K280">
            <v>450.47436000000005</v>
          </cell>
        </row>
        <row r="288">
          <cell r="K288">
            <v>450.47436000000005</v>
          </cell>
        </row>
        <row r="297">
          <cell r="K297">
            <v>450.47436000000005</v>
          </cell>
        </row>
        <row r="305">
          <cell r="K305">
            <v>450.47436000000005</v>
          </cell>
        </row>
        <row r="313">
          <cell r="K313">
            <v>450.47436000000005</v>
          </cell>
        </row>
        <row r="321">
          <cell r="K321">
            <v>450.47436000000005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5"/>
      <sheetName val="Лист4"/>
      <sheetName val="Лист3"/>
      <sheetName val="Лист6"/>
    </sheetNames>
    <sheetDataSet>
      <sheetData sheetId="0"/>
      <sheetData sheetId="1">
        <row r="20">
          <cell r="S20">
            <v>10400</v>
          </cell>
        </row>
        <row r="26">
          <cell r="S26">
            <v>10800</v>
          </cell>
        </row>
        <row r="28">
          <cell r="S28">
            <v>27000</v>
          </cell>
        </row>
        <row r="29">
          <cell r="S29">
            <v>40500</v>
          </cell>
        </row>
        <row r="36">
          <cell r="S36">
            <v>26100</v>
          </cell>
        </row>
        <row r="38">
          <cell r="S38">
            <v>20700</v>
          </cell>
        </row>
        <row r="44">
          <cell r="S44">
            <v>59400</v>
          </cell>
        </row>
        <row r="46">
          <cell r="S46">
            <v>12900</v>
          </cell>
        </row>
        <row r="47">
          <cell r="S47">
            <v>52200</v>
          </cell>
        </row>
        <row r="48">
          <cell r="S48">
            <v>78200</v>
          </cell>
        </row>
        <row r="50">
          <cell r="S50">
            <v>20900</v>
          </cell>
        </row>
        <row r="52">
          <cell r="S52">
            <v>46900</v>
          </cell>
        </row>
        <row r="59">
          <cell r="S59">
            <v>52200</v>
          </cell>
        </row>
        <row r="60">
          <cell r="S60">
            <v>65200</v>
          </cell>
        </row>
        <row r="61">
          <cell r="S61">
            <v>78200</v>
          </cell>
        </row>
        <row r="62">
          <cell r="S62">
            <v>91300</v>
          </cell>
        </row>
        <row r="69">
          <cell r="S69">
            <v>26100</v>
          </cell>
        </row>
        <row r="70">
          <cell r="S70">
            <v>39100</v>
          </cell>
        </row>
        <row r="71">
          <cell r="S71">
            <v>65200</v>
          </cell>
        </row>
        <row r="72">
          <cell r="S72">
            <v>78200</v>
          </cell>
        </row>
        <row r="75">
          <cell r="S75">
            <v>20900</v>
          </cell>
        </row>
        <row r="78">
          <cell r="S78">
            <v>26100</v>
          </cell>
        </row>
        <row r="79">
          <cell r="S79">
            <v>39100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5"/>
      <sheetName val="Лист4"/>
      <sheetName val="Лист3"/>
      <sheetName val="Лист6"/>
    </sheetNames>
    <sheetDataSet>
      <sheetData sheetId="0"/>
      <sheetData sheetId="1">
        <row r="78">
          <cell r="S78">
            <v>35400</v>
          </cell>
        </row>
        <row r="79">
          <cell r="S79">
            <v>53100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5"/>
      <sheetName val="Лист4"/>
      <sheetName val="Лист3"/>
      <sheetName val="Лист6"/>
    </sheetNames>
    <sheetDataSet>
      <sheetData sheetId="0"/>
      <sheetData sheetId="1">
        <row r="78">
          <cell r="S78">
            <v>54400</v>
          </cell>
        </row>
        <row r="79">
          <cell r="S79">
            <v>81600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30" zoomScaleNormal="100" workbookViewId="0">
      <selection activeCell="B42" sqref="B42"/>
    </sheetView>
  </sheetViews>
  <sheetFormatPr defaultRowHeight="15.6" x14ac:dyDescent="0.3"/>
  <cols>
    <col min="1" max="1" width="4.6640625" style="5" customWidth="1"/>
    <col min="2" max="2" width="50" style="5" customWidth="1"/>
    <col min="3" max="3" width="22.6640625" style="5" customWidth="1"/>
    <col min="4" max="4" width="23.77734375" style="5" customWidth="1"/>
    <col min="5" max="5" width="21.5546875" style="5" hidden="1" customWidth="1"/>
    <col min="6" max="256" width="8.88671875" style="5"/>
    <col min="257" max="257" width="4.6640625" style="5" customWidth="1"/>
    <col min="258" max="258" width="42" style="5" customWidth="1"/>
    <col min="259" max="259" width="20.88671875" style="5" customWidth="1"/>
    <col min="260" max="260" width="16.33203125" style="5" customWidth="1"/>
    <col min="261" max="261" width="21.5546875" style="5" customWidth="1"/>
    <col min="262" max="512" width="8.88671875" style="5"/>
    <col min="513" max="513" width="4.6640625" style="5" customWidth="1"/>
    <col min="514" max="514" width="42" style="5" customWidth="1"/>
    <col min="515" max="515" width="20.88671875" style="5" customWidth="1"/>
    <col min="516" max="516" width="16.33203125" style="5" customWidth="1"/>
    <col min="517" max="517" width="21.5546875" style="5" customWidth="1"/>
    <col min="518" max="768" width="8.88671875" style="5"/>
    <col min="769" max="769" width="4.6640625" style="5" customWidth="1"/>
    <col min="770" max="770" width="42" style="5" customWidth="1"/>
    <col min="771" max="771" width="20.88671875" style="5" customWidth="1"/>
    <col min="772" max="772" width="16.33203125" style="5" customWidth="1"/>
    <col min="773" max="773" width="21.5546875" style="5" customWidth="1"/>
    <col min="774" max="1024" width="8.88671875" style="5"/>
    <col min="1025" max="1025" width="4.6640625" style="5" customWidth="1"/>
    <col min="1026" max="1026" width="42" style="5" customWidth="1"/>
    <col min="1027" max="1027" width="20.88671875" style="5" customWidth="1"/>
    <col min="1028" max="1028" width="16.33203125" style="5" customWidth="1"/>
    <col min="1029" max="1029" width="21.5546875" style="5" customWidth="1"/>
    <col min="1030" max="1280" width="8.88671875" style="5"/>
    <col min="1281" max="1281" width="4.6640625" style="5" customWidth="1"/>
    <col min="1282" max="1282" width="42" style="5" customWidth="1"/>
    <col min="1283" max="1283" width="20.88671875" style="5" customWidth="1"/>
    <col min="1284" max="1284" width="16.33203125" style="5" customWidth="1"/>
    <col min="1285" max="1285" width="21.5546875" style="5" customWidth="1"/>
    <col min="1286" max="1536" width="8.88671875" style="5"/>
    <col min="1537" max="1537" width="4.6640625" style="5" customWidth="1"/>
    <col min="1538" max="1538" width="42" style="5" customWidth="1"/>
    <col min="1539" max="1539" width="20.88671875" style="5" customWidth="1"/>
    <col min="1540" max="1540" width="16.33203125" style="5" customWidth="1"/>
    <col min="1541" max="1541" width="21.5546875" style="5" customWidth="1"/>
    <col min="1542" max="1792" width="8.88671875" style="5"/>
    <col min="1793" max="1793" width="4.6640625" style="5" customWidth="1"/>
    <col min="1794" max="1794" width="42" style="5" customWidth="1"/>
    <col min="1795" max="1795" width="20.88671875" style="5" customWidth="1"/>
    <col min="1796" max="1796" width="16.33203125" style="5" customWidth="1"/>
    <col min="1797" max="1797" width="21.5546875" style="5" customWidth="1"/>
    <col min="1798" max="2048" width="8.88671875" style="5"/>
    <col min="2049" max="2049" width="4.6640625" style="5" customWidth="1"/>
    <col min="2050" max="2050" width="42" style="5" customWidth="1"/>
    <col min="2051" max="2051" width="20.88671875" style="5" customWidth="1"/>
    <col min="2052" max="2052" width="16.33203125" style="5" customWidth="1"/>
    <col min="2053" max="2053" width="21.5546875" style="5" customWidth="1"/>
    <col min="2054" max="2304" width="8.88671875" style="5"/>
    <col min="2305" max="2305" width="4.6640625" style="5" customWidth="1"/>
    <col min="2306" max="2306" width="42" style="5" customWidth="1"/>
    <col min="2307" max="2307" width="20.88671875" style="5" customWidth="1"/>
    <col min="2308" max="2308" width="16.33203125" style="5" customWidth="1"/>
    <col min="2309" max="2309" width="21.5546875" style="5" customWidth="1"/>
    <col min="2310" max="2560" width="8.88671875" style="5"/>
    <col min="2561" max="2561" width="4.6640625" style="5" customWidth="1"/>
    <col min="2562" max="2562" width="42" style="5" customWidth="1"/>
    <col min="2563" max="2563" width="20.88671875" style="5" customWidth="1"/>
    <col min="2564" max="2564" width="16.33203125" style="5" customWidth="1"/>
    <col min="2565" max="2565" width="21.5546875" style="5" customWidth="1"/>
    <col min="2566" max="2816" width="8.88671875" style="5"/>
    <col min="2817" max="2817" width="4.6640625" style="5" customWidth="1"/>
    <col min="2818" max="2818" width="42" style="5" customWidth="1"/>
    <col min="2819" max="2819" width="20.88671875" style="5" customWidth="1"/>
    <col min="2820" max="2820" width="16.33203125" style="5" customWidth="1"/>
    <col min="2821" max="2821" width="21.5546875" style="5" customWidth="1"/>
    <col min="2822" max="3072" width="8.88671875" style="5"/>
    <col min="3073" max="3073" width="4.6640625" style="5" customWidth="1"/>
    <col min="3074" max="3074" width="42" style="5" customWidth="1"/>
    <col min="3075" max="3075" width="20.88671875" style="5" customWidth="1"/>
    <col min="3076" max="3076" width="16.33203125" style="5" customWidth="1"/>
    <col min="3077" max="3077" width="21.5546875" style="5" customWidth="1"/>
    <col min="3078" max="3328" width="8.88671875" style="5"/>
    <col min="3329" max="3329" width="4.6640625" style="5" customWidth="1"/>
    <col min="3330" max="3330" width="42" style="5" customWidth="1"/>
    <col min="3331" max="3331" width="20.88671875" style="5" customWidth="1"/>
    <col min="3332" max="3332" width="16.33203125" style="5" customWidth="1"/>
    <col min="3333" max="3333" width="21.5546875" style="5" customWidth="1"/>
    <col min="3334" max="3584" width="8.88671875" style="5"/>
    <col min="3585" max="3585" width="4.6640625" style="5" customWidth="1"/>
    <col min="3586" max="3586" width="42" style="5" customWidth="1"/>
    <col min="3587" max="3587" width="20.88671875" style="5" customWidth="1"/>
    <col min="3588" max="3588" width="16.33203125" style="5" customWidth="1"/>
    <col min="3589" max="3589" width="21.5546875" style="5" customWidth="1"/>
    <col min="3590" max="3840" width="8.88671875" style="5"/>
    <col min="3841" max="3841" width="4.6640625" style="5" customWidth="1"/>
    <col min="3842" max="3842" width="42" style="5" customWidth="1"/>
    <col min="3843" max="3843" width="20.88671875" style="5" customWidth="1"/>
    <col min="3844" max="3844" width="16.33203125" style="5" customWidth="1"/>
    <col min="3845" max="3845" width="21.5546875" style="5" customWidth="1"/>
    <col min="3846" max="4096" width="8.88671875" style="5"/>
    <col min="4097" max="4097" width="4.6640625" style="5" customWidth="1"/>
    <col min="4098" max="4098" width="42" style="5" customWidth="1"/>
    <col min="4099" max="4099" width="20.88671875" style="5" customWidth="1"/>
    <col min="4100" max="4100" width="16.33203125" style="5" customWidth="1"/>
    <col min="4101" max="4101" width="21.5546875" style="5" customWidth="1"/>
    <col min="4102" max="4352" width="8.88671875" style="5"/>
    <col min="4353" max="4353" width="4.6640625" style="5" customWidth="1"/>
    <col min="4354" max="4354" width="42" style="5" customWidth="1"/>
    <col min="4355" max="4355" width="20.88671875" style="5" customWidth="1"/>
    <col min="4356" max="4356" width="16.33203125" style="5" customWidth="1"/>
    <col min="4357" max="4357" width="21.5546875" style="5" customWidth="1"/>
    <col min="4358" max="4608" width="8.88671875" style="5"/>
    <col min="4609" max="4609" width="4.6640625" style="5" customWidth="1"/>
    <col min="4610" max="4610" width="42" style="5" customWidth="1"/>
    <col min="4611" max="4611" width="20.88671875" style="5" customWidth="1"/>
    <col min="4612" max="4612" width="16.33203125" style="5" customWidth="1"/>
    <col min="4613" max="4613" width="21.5546875" style="5" customWidth="1"/>
    <col min="4614" max="4864" width="8.88671875" style="5"/>
    <col min="4865" max="4865" width="4.6640625" style="5" customWidth="1"/>
    <col min="4866" max="4866" width="42" style="5" customWidth="1"/>
    <col min="4867" max="4867" width="20.88671875" style="5" customWidth="1"/>
    <col min="4868" max="4868" width="16.33203125" style="5" customWidth="1"/>
    <col min="4869" max="4869" width="21.5546875" style="5" customWidth="1"/>
    <col min="4870" max="5120" width="8.88671875" style="5"/>
    <col min="5121" max="5121" width="4.6640625" style="5" customWidth="1"/>
    <col min="5122" max="5122" width="42" style="5" customWidth="1"/>
    <col min="5123" max="5123" width="20.88671875" style="5" customWidth="1"/>
    <col min="5124" max="5124" width="16.33203125" style="5" customWidth="1"/>
    <col min="5125" max="5125" width="21.5546875" style="5" customWidth="1"/>
    <col min="5126" max="5376" width="8.88671875" style="5"/>
    <col min="5377" max="5377" width="4.6640625" style="5" customWidth="1"/>
    <col min="5378" max="5378" width="42" style="5" customWidth="1"/>
    <col min="5379" max="5379" width="20.88671875" style="5" customWidth="1"/>
    <col min="5380" max="5380" width="16.33203125" style="5" customWidth="1"/>
    <col min="5381" max="5381" width="21.5546875" style="5" customWidth="1"/>
    <col min="5382" max="5632" width="8.88671875" style="5"/>
    <col min="5633" max="5633" width="4.6640625" style="5" customWidth="1"/>
    <col min="5634" max="5634" width="42" style="5" customWidth="1"/>
    <col min="5635" max="5635" width="20.88671875" style="5" customWidth="1"/>
    <col min="5636" max="5636" width="16.33203125" style="5" customWidth="1"/>
    <col min="5637" max="5637" width="21.5546875" style="5" customWidth="1"/>
    <col min="5638" max="5888" width="8.88671875" style="5"/>
    <col min="5889" max="5889" width="4.6640625" style="5" customWidth="1"/>
    <col min="5890" max="5890" width="42" style="5" customWidth="1"/>
    <col min="5891" max="5891" width="20.88671875" style="5" customWidth="1"/>
    <col min="5892" max="5892" width="16.33203125" style="5" customWidth="1"/>
    <col min="5893" max="5893" width="21.5546875" style="5" customWidth="1"/>
    <col min="5894" max="6144" width="8.88671875" style="5"/>
    <col min="6145" max="6145" width="4.6640625" style="5" customWidth="1"/>
    <col min="6146" max="6146" width="42" style="5" customWidth="1"/>
    <col min="6147" max="6147" width="20.88671875" style="5" customWidth="1"/>
    <col min="6148" max="6148" width="16.33203125" style="5" customWidth="1"/>
    <col min="6149" max="6149" width="21.5546875" style="5" customWidth="1"/>
    <col min="6150" max="6400" width="8.88671875" style="5"/>
    <col min="6401" max="6401" width="4.6640625" style="5" customWidth="1"/>
    <col min="6402" max="6402" width="42" style="5" customWidth="1"/>
    <col min="6403" max="6403" width="20.88671875" style="5" customWidth="1"/>
    <col min="6404" max="6404" width="16.33203125" style="5" customWidth="1"/>
    <col min="6405" max="6405" width="21.5546875" style="5" customWidth="1"/>
    <col min="6406" max="6656" width="8.88671875" style="5"/>
    <col min="6657" max="6657" width="4.6640625" style="5" customWidth="1"/>
    <col min="6658" max="6658" width="42" style="5" customWidth="1"/>
    <col min="6659" max="6659" width="20.88671875" style="5" customWidth="1"/>
    <col min="6660" max="6660" width="16.33203125" style="5" customWidth="1"/>
    <col min="6661" max="6661" width="21.5546875" style="5" customWidth="1"/>
    <col min="6662" max="6912" width="8.88671875" style="5"/>
    <col min="6913" max="6913" width="4.6640625" style="5" customWidth="1"/>
    <col min="6914" max="6914" width="42" style="5" customWidth="1"/>
    <col min="6915" max="6915" width="20.88671875" style="5" customWidth="1"/>
    <col min="6916" max="6916" width="16.33203125" style="5" customWidth="1"/>
    <col min="6917" max="6917" width="21.5546875" style="5" customWidth="1"/>
    <col min="6918" max="7168" width="8.88671875" style="5"/>
    <col min="7169" max="7169" width="4.6640625" style="5" customWidth="1"/>
    <col min="7170" max="7170" width="42" style="5" customWidth="1"/>
    <col min="7171" max="7171" width="20.88671875" style="5" customWidth="1"/>
    <col min="7172" max="7172" width="16.33203125" style="5" customWidth="1"/>
    <col min="7173" max="7173" width="21.5546875" style="5" customWidth="1"/>
    <col min="7174" max="7424" width="8.88671875" style="5"/>
    <col min="7425" max="7425" width="4.6640625" style="5" customWidth="1"/>
    <col min="7426" max="7426" width="42" style="5" customWidth="1"/>
    <col min="7427" max="7427" width="20.88671875" style="5" customWidth="1"/>
    <col min="7428" max="7428" width="16.33203125" style="5" customWidth="1"/>
    <col min="7429" max="7429" width="21.5546875" style="5" customWidth="1"/>
    <col min="7430" max="7680" width="8.88671875" style="5"/>
    <col min="7681" max="7681" width="4.6640625" style="5" customWidth="1"/>
    <col min="7682" max="7682" width="42" style="5" customWidth="1"/>
    <col min="7683" max="7683" width="20.88671875" style="5" customWidth="1"/>
    <col min="7684" max="7684" width="16.33203125" style="5" customWidth="1"/>
    <col min="7685" max="7685" width="21.5546875" style="5" customWidth="1"/>
    <col min="7686" max="7936" width="8.88671875" style="5"/>
    <col min="7937" max="7937" width="4.6640625" style="5" customWidth="1"/>
    <col min="7938" max="7938" width="42" style="5" customWidth="1"/>
    <col min="7939" max="7939" width="20.88671875" style="5" customWidth="1"/>
    <col min="7940" max="7940" width="16.33203125" style="5" customWidth="1"/>
    <col min="7941" max="7941" width="21.5546875" style="5" customWidth="1"/>
    <col min="7942" max="8192" width="8.88671875" style="5"/>
    <col min="8193" max="8193" width="4.6640625" style="5" customWidth="1"/>
    <col min="8194" max="8194" width="42" style="5" customWidth="1"/>
    <col min="8195" max="8195" width="20.88671875" style="5" customWidth="1"/>
    <col min="8196" max="8196" width="16.33203125" style="5" customWidth="1"/>
    <col min="8197" max="8197" width="21.5546875" style="5" customWidth="1"/>
    <col min="8198" max="8448" width="8.88671875" style="5"/>
    <col min="8449" max="8449" width="4.6640625" style="5" customWidth="1"/>
    <col min="8450" max="8450" width="42" style="5" customWidth="1"/>
    <col min="8451" max="8451" width="20.88671875" style="5" customWidth="1"/>
    <col min="8452" max="8452" width="16.33203125" style="5" customWidth="1"/>
    <col min="8453" max="8453" width="21.5546875" style="5" customWidth="1"/>
    <col min="8454" max="8704" width="8.88671875" style="5"/>
    <col min="8705" max="8705" width="4.6640625" style="5" customWidth="1"/>
    <col min="8706" max="8706" width="42" style="5" customWidth="1"/>
    <col min="8707" max="8707" width="20.88671875" style="5" customWidth="1"/>
    <col min="8708" max="8708" width="16.33203125" style="5" customWidth="1"/>
    <col min="8709" max="8709" width="21.5546875" style="5" customWidth="1"/>
    <col min="8710" max="8960" width="8.88671875" style="5"/>
    <col min="8961" max="8961" width="4.6640625" style="5" customWidth="1"/>
    <col min="8962" max="8962" width="42" style="5" customWidth="1"/>
    <col min="8963" max="8963" width="20.88671875" style="5" customWidth="1"/>
    <col min="8964" max="8964" width="16.33203125" style="5" customWidth="1"/>
    <col min="8965" max="8965" width="21.5546875" style="5" customWidth="1"/>
    <col min="8966" max="9216" width="8.88671875" style="5"/>
    <col min="9217" max="9217" width="4.6640625" style="5" customWidth="1"/>
    <col min="9218" max="9218" width="42" style="5" customWidth="1"/>
    <col min="9219" max="9219" width="20.88671875" style="5" customWidth="1"/>
    <col min="9220" max="9220" width="16.33203125" style="5" customWidth="1"/>
    <col min="9221" max="9221" width="21.5546875" style="5" customWidth="1"/>
    <col min="9222" max="9472" width="8.88671875" style="5"/>
    <col min="9473" max="9473" width="4.6640625" style="5" customWidth="1"/>
    <col min="9474" max="9474" width="42" style="5" customWidth="1"/>
    <col min="9475" max="9475" width="20.88671875" style="5" customWidth="1"/>
    <col min="9476" max="9476" width="16.33203125" style="5" customWidth="1"/>
    <col min="9477" max="9477" width="21.5546875" style="5" customWidth="1"/>
    <col min="9478" max="9728" width="8.88671875" style="5"/>
    <col min="9729" max="9729" width="4.6640625" style="5" customWidth="1"/>
    <col min="9730" max="9730" width="42" style="5" customWidth="1"/>
    <col min="9731" max="9731" width="20.88671875" style="5" customWidth="1"/>
    <col min="9732" max="9732" width="16.33203125" style="5" customWidth="1"/>
    <col min="9733" max="9733" width="21.5546875" style="5" customWidth="1"/>
    <col min="9734" max="9984" width="8.88671875" style="5"/>
    <col min="9985" max="9985" width="4.6640625" style="5" customWidth="1"/>
    <col min="9986" max="9986" width="42" style="5" customWidth="1"/>
    <col min="9987" max="9987" width="20.88671875" style="5" customWidth="1"/>
    <col min="9988" max="9988" width="16.33203125" style="5" customWidth="1"/>
    <col min="9989" max="9989" width="21.5546875" style="5" customWidth="1"/>
    <col min="9990" max="10240" width="8.88671875" style="5"/>
    <col min="10241" max="10241" width="4.6640625" style="5" customWidth="1"/>
    <col min="10242" max="10242" width="42" style="5" customWidth="1"/>
    <col min="10243" max="10243" width="20.88671875" style="5" customWidth="1"/>
    <col min="10244" max="10244" width="16.33203125" style="5" customWidth="1"/>
    <col min="10245" max="10245" width="21.5546875" style="5" customWidth="1"/>
    <col min="10246" max="10496" width="8.88671875" style="5"/>
    <col min="10497" max="10497" width="4.6640625" style="5" customWidth="1"/>
    <col min="10498" max="10498" width="42" style="5" customWidth="1"/>
    <col min="10499" max="10499" width="20.88671875" style="5" customWidth="1"/>
    <col min="10500" max="10500" width="16.33203125" style="5" customWidth="1"/>
    <col min="10501" max="10501" width="21.5546875" style="5" customWidth="1"/>
    <col min="10502" max="10752" width="8.88671875" style="5"/>
    <col min="10753" max="10753" width="4.6640625" style="5" customWidth="1"/>
    <col min="10754" max="10754" width="42" style="5" customWidth="1"/>
    <col min="10755" max="10755" width="20.88671875" style="5" customWidth="1"/>
    <col min="10756" max="10756" width="16.33203125" style="5" customWidth="1"/>
    <col min="10757" max="10757" width="21.5546875" style="5" customWidth="1"/>
    <col min="10758" max="11008" width="8.88671875" style="5"/>
    <col min="11009" max="11009" width="4.6640625" style="5" customWidth="1"/>
    <col min="11010" max="11010" width="42" style="5" customWidth="1"/>
    <col min="11011" max="11011" width="20.88671875" style="5" customWidth="1"/>
    <col min="11012" max="11012" width="16.33203125" style="5" customWidth="1"/>
    <col min="11013" max="11013" width="21.5546875" style="5" customWidth="1"/>
    <col min="11014" max="11264" width="8.88671875" style="5"/>
    <col min="11265" max="11265" width="4.6640625" style="5" customWidth="1"/>
    <col min="11266" max="11266" width="42" style="5" customWidth="1"/>
    <col min="11267" max="11267" width="20.88671875" style="5" customWidth="1"/>
    <col min="11268" max="11268" width="16.33203125" style="5" customWidth="1"/>
    <col min="11269" max="11269" width="21.5546875" style="5" customWidth="1"/>
    <col min="11270" max="11520" width="8.88671875" style="5"/>
    <col min="11521" max="11521" width="4.6640625" style="5" customWidth="1"/>
    <col min="11522" max="11522" width="42" style="5" customWidth="1"/>
    <col min="11523" max="11523" width="20.88671875" style="5" customWidth="1"/>
    <col min="11524" max="11524" width="16.33203125" style="5" customWidth="1"/>
    <col min="11525" max="11525" width="21.5546875" style="5" customWidth="1"/>
    <col min="11526" max="11776" width="8.88671875" style="5"/>
    <col min="11777" max="11777" width="4.6640625" style="5" customWidth="1"/>
    <col min="11778" max="11778" width="42" style="5" customWidth="1"/>
    <col min="11779" max="11779" width="20.88671875" style="5" customWidth="1"/>
    <col min="11780" max="11780" width="16.33203125" style="5" customWidth="1"/>
    <col min="11781" max="11781" width="21.5546875" style="5" customWidth="1"/>
    <col min="11782" max="12032" width="8.88671875" style="5"/>
    <col min="12033" max="12033" width="4.6640625" style="5" customWidth="1"/>
    <col min="12034" max="12034" width="42" style="5" customWidth="1"/>
    <col min="12035" max="12035" width="20.88671875" style="5" customWidth="1"/>
    <col min="12036" max="12036" width="16.33203125" style="5" customWidth="1"/>
    <col min="12037" max="12037" width="21.5546875" style="5" customWidth="1"/>
    <col min="12038" max="12288" width="8.88671875" style="5"/>
    <col min="12289" max="12289" width="4.6640625" style="5" customWidth="1"/>
    <col min="12290" max="12290" width="42" style="5" customWidth="1"/>
    <col min="12291" max="12291" width="20.88671875" style="5" customWidth="1"/>
    <col min="12292" max="12292" width="16.33203125" style="5" customWidth="1"/>
    <col min="12293" max="12293" width="21.5546875" style="5" customWidth="1"/>
    <col min="12294" max="12544" width="8.88671875" style="5"/>
    <col min="12545" max="12545" width="4.6640625" style="5" customWidth="1"/>
    <col min="12546" max="12546" width="42" style="5" customWidth="1"/>
    <col min="12547" max="12547" width="20.88671875" style="5" customWidth="1"/>
    <col min="12548" max="12548" width="16.33203125" style="5" customWidth="1"/>
    <col min="12549" max="12549" width="21.5546875" style="5" customWidth="1"/>
    <col min="12550" max="12800" width="8.88671875" style="5"/>
    <col min="12801" max="12801" width="4.6640625" style="5" customWidth="1"/>
    <col min="12802" max="12802" width="42" style="5" customWidth="1"/>
    <col min="12803" max="12803" width="20.88671875" style="5" customWidth="1"/>
    <col min="12804" max="12804" width="16.33203125" style="5" customWidth="1"/>
    <col min="12805" max="12805" width="21.5546875" style="5" customWidth="1"/>
    <col min="12806" max="13056" width="8.88671875" style="5"/>
    <col min="13057" max="13057" width="4.6640625" style="5" customWidth="1"/>
    <col min="13058" max="13058" width="42" style="5" customWidth="1"/>
    <col min="13059" max="13059" width="20.88671875" style="5" customWidth="1"/>
    <col min="13060" max="13060" width="16.33203125" style="5" customWidth="1"/>
    <col min="13061" max="13061" width="21.5546875" style="5" customWidth="1"/>
    <col min="13062" max="13312" width="8.88671875" style="5"/>
    <col min="13313" max="13313" width="4.6640625" style="5" customWidth="1"/>
    <col min="13314" max="13314" width="42" style="5" customWidth="1"/>
    <col min="13315" max="13315" width="20.88671875" style="5" customWidth="1"/>
    <col min="13316" max="13316" width="16.33203125" style="5" customWidth="1"/>
    <col min="13317" max="13317" width="21.5546875" style="5" customWidth="1"/>
    <col min="13318" max="13568" width="8.88671875" style="5"/>
    <col min="13569" max="13569" width="4.6640625" style="5" customWidth="1"/>
    <col min="13570" max="13570" width="42" style="5" customWidth="1"/>
    <col min="13571" max="13571" width="20.88671875" style="5" customWidth="1"/>
    <col min="13572" max="13572" width="16.33203125" style="5" customWidth="1"/>
    <col min="13573" max="13573" width="21.5546875" style="5" customWidth="1"/>
    <col min="13574" max="13824" width="8.88671875" style="5"/>
    <col min="13825" max="13825" width="4.6640625" style="5" customWidth="1"/>
    <col min="13826" max="13826" width="42" style="5" customWidth="1"/>
    <col min="13827" max="13827" width="20.88671875" style="5" customWidth="1"/>
    <col min="13828" max="13828" width="16.33203125" style="5" customWidth="1"/>
    <col min="13829" max="13829" width="21.5546875" style="5" customWidth="1"/>
    <col min="13830" max="14080" width="8.88671875" style="5"/>
    <col min="14081" max="14081" width="4.6640625" style="5" customWidth="1"/>
    <col min="14082" max="14082" width="42" style="5" customWidth="1"/>
    <col min="14083" max="14083" width="20.88671875" style="5" customWidth="1"/>
    <col min="14084" max="14084" width="16.33203125" style="5" customWidth="1"/>
    <col min="14085" max="14085" width="21.5546875" style="5" customWidth="1"/>
    <col min="14086" max="14336" width="8.88671875" style="5"/>
    <col min="14337" max="14337" width="4.6640625" style="5" customWidth="1"/>
    <col min="14338" max="14338" width="42" style="5" customWidth="1"/>
    <col min="14339" max="14339" width="20.88671875" style="5" customWidth="1"/>
    <col min="14340" max="14340" width="16.33203125" style="5" customWidth="1"/>
    <col min="14341" max="14341" width="21.5546875" style="5" customWidth="1"/>
    <col min="14342" max="14592" width="8.88671875" style="5"/>
    <col min="14593" max="14593" width="4.6640625" style="5" customWidth="1"/>
    <col min="14594" max="14594" width="42" style="5" customWidth="1"/>
    <col min="14595" max="14595" width="20.88671875" style="5" customWidth="1"/>
    <col min="14596" max="14596" width="16.33203125" style="5" customWidth="1"/>
    <col min="14597" max="14597" width="21.5546875" style="5" customWidth="1"/>
    <col min="14598" max="14848" width="8.88671875" style="5"/>
    <col min="14849" max="14849" width="4.6640625" style="5" customWidth="1"/>
    <col min="14850" max="14850" width="42" style="5" customWidth="1"/>
    <col min="14851" max="14851" width="20.88671875" style="5" customWidth="1"/>
    <col min="14852" max="14852" width="16.33203125" style="5" customWidth="1"/>
    <col min="14853" max="14853" width="21.5546875" style="5" customWidth="1"/>
    <col min="14854" max="15104" width="8.88671875" style="5"/>
    <col min="15105" max="15105" width="4.6640625" style="5" customWidth="1"/>
    <col min="15106" max="15106" width="42" style="5" customWidth="1"/>
    <col min="15107" max="15107" width="20.88671875" style="5" customWidth="1"/>
    <col min="15108" max="15108" width="16.33203125" style="5" customWidth="1"/>
    <col min="15109" max="15109" width="21.5546875" style="5" customWidth="1"/>
    <col min="15110" max="15360" width="8.88671875" style="5"/>
    <col min="15361" max="15361" width="4.6640625" style="5" customWidth="1"/>
    <col min="15362" max="15362" width="42" style="5" customWidth="1"/>
    <col min="15363" max="15363" width="20.88671875" style="5" customWidth="1"/>
    <col min="15364" max="15364" width="16.33203125" style="5" customWidth="1"/>
    <col min="15365" max="15365" width="21.5546875" style="5" customWidth="1"/>
    <col min="15366" max="15616" width="8.88671875" style="5"/>
    <col min="15617" max="15617" width="4.6640625" style="5" customWidth="1"/>
    <col min="15618" max="15618" width="42" style="5" customWidth="1"/>
    <col min="15619" max="15619" width="20.88671875" style="5" customWidth="1"/>
    <col min="15620" max="15620" width="16.33203125" style="5" customWidth="1"/>
    <col min="15621" max="15621" width="21.5546875" style="5" customWidth="1"/>
    <col min="15622" max="15872" width="8.88671875" style="5"/>
    <col min="15873" max="15873" width="4.6640625" style="5" customWidth="1"/>
    <col min="15874" max="15874" width="42" style="5" customWidth="1"/>
    <col min="15875" max="15875" width="20.88671875" style="5" customWidth="1"/>
    <col min="15876" max="15876" width="16.33203125" style="5" customWidth="1"/>
    <col min="15877" max="15877" width="21.5546875" style="5" customWidth="1"/>
    <col min="15878" max="16128" width="8.88671875" style="5"/>
    <col min="16129" max="16129" width="4.6640625" style="5" customWidth="1"/>
    <col min="16130" max="16130" width="42" style="5" customWidth="1"/>
    <col min="16131" max="16131" width="20.88671875" style="5" customWidth="1"/>
    <col min="16132" max="16132" width="16.33203125" style="5" customWidth="1"/>
    <col min="16133" max="16133" width="21.5546875" style="5" customWidth="1"/>
    <col min="16134" max="16384" width="8.88671875" style="5"/>
  </cols>
  <sheetData>
    <row r="1" spans="1:5" ht="18" hidden="1" x14ac:dyDescent="0.35">
      <c r="D1" s="330" t="s">
        <v>462</v>
      </c>
    </row>
    <row r="2" spans="1:5" ht="16.8" hidden="1" x14ac:dyDescent="0.3">
      <c r="D2" s="331" t="s">
        <v>343</v>
      </c>
    </row>
    <row r="3" spans="1:5" ht="16.8" hidden="1" x14ac:dyDescent="0.3">
      <c r="D3" s="331" t="s">
        <v>472</v>
      </c>
    </row>
    <row r="4" spans="1:5" ht="16.8" hidden="1" x14ac:dyDescent="0.3">
      <c r="D4" s="331" t="s">
        <v>442</v>
      </c>
    </row>
    <row r="5" spans="1:5" ht="16.8" hidden="1" x14ac:dyDescent="0.3">
      <c r="D5" s="331" t="s">
        <v>345</v>
      </c>
    </row>
    <row r="6" spans="1:5" ht="16.8" hidden="1" x14ac:dyDescent="0.3">
      <c r="D6" s="331" t="s">
        <v>346</v>
      </c>
    </row>
    <row r="7" spans="1:5" ht="16.8" hidden="1" x14ac:dyDescent="0.3">
      <c r="C7" s="351" t="s">
        <v>473</v>
      </c>
      <c r="D7" s="351"/>
    </row>
    <row r="8" spans="1:5" hidden="1" x14ac:dyDescent="0.3"/>
    <row r="12" spans="1:5" ht="20.399999999999999" x14ac:dyDescent="0.3">
      <c r="A12" s="352" t="s">
        <v>363</v>
      </c>
      <c r="B12" s="352"/>
      <c r="C12" s="352"/>
      <c r="D12" s="352"/>
      <c r="E12" s="352"/>
    </row>
    <row r="13" spans="1:5" ht="20.399999999999999" x14ac:dyDescent="0.3">
      <c r="A13" s="352" t="s">
        <v>364</v>
      </c>
      <c r="B13" s="352"/>
      <c r="C13" s="352"/>
      <c r="D13" s="352"/>
      <c r="E13" s="352"/>
    </row>
    <row r="14" spans="1:5" ht="20.399999999999999" x14ac:dyDescent="0.3">
      <c r="A14" s="352" t="s">
        <v>398</v>
      </c>
      <c r="B14" s="352"/>
      <c r="C14" s="352"/>
      <c r="D14" s="352"/>
      <c r="E14" s="352"/>
    </row>
    <row r="15" spans="1:5" ht="20.399999999999999" x14ac:dyDescent="0.3">
      <c r="A15" s="283"/>
      <c r="B15" s="283"/>
      <c r="C15" s="283"/>
      <c r="D15" s="283"/>
      <c r="E15" s="283"/>
    </row>
    <row r="16" spans="1:5" x14ac:dyDescent="0.3">
      <c r="D16" s="233" t="s">
        <v>474</v>
      </c>
    </row>
    <row r="17" spans="1:5" ht="15.75" customHeight="1" x14ac:dyDescent="0.3">
      <c r="A17" s="353" t="s">
        <v>1</v>
      </c>
      <c r="B17" s="353" t="s">
        <v>366</v>
      </c>
      <c r="C17" s="353" t="s">
        <v>367</v>
      </c>
      <c r="D17" s="353" t="s">
        <v>368</v>
      </c>
      <c r="E17" s="353" t="s">
        <v>369</v>
      </c>
    </row>
    <row r="18" spans="1:5" ht="69" customHeight="1" x14ac:dyDescent="0.3">
      <c r="A18" s="354"/>
      <c r="B18" s="354"/>
      <c r="C18" s="354"/>
      <c r="D18" s="354"/>
      <c r="E18" s="354"/>
    </row>
    <row r="19" spans="1:5" x14ac:dyDescent="0.3">
      <c r="A19" s="234">
        <v>1</v>
      </c>
      <c r="B19" s="234">
        <v>2</v>
      </c>
      <c r="C19" s="234">
        <v>3</v>
      </c>
      <c r="D19" s="234">
        <v>3</v>
      </c>
      <c r="E19" s="234">
        <v>4</v>
      </c>
    </row>
    <row r="20" spans="1:5" ht="15.6" customHeight="1" x14ac:dyDescent="0.3">
      <c r="A20" s="347" t="s">
        <v>370</v>
      </c>
      <c r="B20" s="347"/>
      <c r="C20" s="347"/>
      <c r="D20" s="347"/>
      <c r="E20" s="332"/>
    </row>
    <row r="21" spans="1:5" ht="26.4" customHeight="1" x14ac:dyDescent="0.3">
      <c r="A21" s="235" t="s">
        <v>159</v>
      </c>
      <c r="B21" s="236" t="s">
        <v>371</v>
      </c>
      <c r="C21" s="237" t="s">
        <v>372</v>
      </c>
      <c r="D21" s="238">
        <v>360.4</v>
      </c>
      <c r="E21" s="239">
        <v>2620400</v>
      </c>
    </row>
    <row r="22" spans="1:5" ht="51" customHeight="1" x14ac:dyDescent="0.3">
      <c r="A22" s="235" t="s">
        <v>167</v>
      </c>
      <c r="B22" s="240" t="s">
        <v>475</v>
      </c>
      <c r="C22" s="237" t="s">
        <v>373</v>
      </c>
      <c r="D22" s="238">
        <v>1015.32</v>
      </c>
      <c r="E22" s="239">
        <v>7710600</v>
      </c>
    </row>
    <row r="23" spans="1:5" ht="17.399999999999999" x14ac:dyDescent="0.3">
      <c r="A23" s="348" t="s">
        <v>374</v>
      </c>
      <c r="B23" s="348"/>
      <c r="C23" s="348"/>
      <c r="D23" s="348"/>
      <c r="E23" s="334"/>
    </row>
    <row r="24" spans="1:5" ht="21" customHeight="1" x14ac:dyDescent="0.3">
      <c r="A24" s="235" t="s">
        <v>159</v>
      </c>
      <c r="B24" s="241" t="s">
        <v>476</v>
      </c>
      <c r="C24" s="242" t="s">
        <v>375</v>
      </c>
      <c r="D24" s="238">
        <v>98.77</v>
      </c>
      <c r="E24" s="239">
        <v>556400</v>
      </c>
    </row>
    <row r="25" spans="1:5" ht="16.8" x14ac:dyDescent="0.3">
      <c r="A25" s="235" t="s">
        <v>167</v>
      </c>
      <c r="B25" s="236" t="s">
        <v>376</v>
      </c>
      <c r="C25" s="242" t="s">
        <v>377</v>
      </c>
      <c r="D25" s="238">
        <v>121.6</v>
      </c>
      <c r="E25" s="239">
        <v>877700</v>
      </c>
    </row>
    <row r="26" spans="1:5" ht="21.6" customHeight="1" x14ac:dyDescent="0.3">
      <c r="A26" s="235" t="s">
        <v>168</v>
      </c>
      <c r="B26" s="236" t="s">
        <v>378</v>
      </c>
      <c r="C26" s="242" t="s">
        <v>375</v>
      </c>
      <c r="D26" s="238">
        <v>73.36</v>
      </c>
      <c r="E26" s="239">
        <v>502100</v>
      </c>
    </row>
    <row r="27" spans="1:5" ht="21.6" customHeight="1" x14ac:dyDescent="0.3">
      <c r="A27" s="235" t="s">
        <v>169</v>
      </c>
      <c r="B27" s="241" t="s">
        <v>477</v>
      </c>
      <c r="C27" s="242" t="s">
        <v>375</v>
      </c>
      <c r="D27" s="238">
        <v>100.03</v>
      </c>
      <c r="E27" s="239">
        <v>559000</v>
      </c>
    </row>
    <row r="28" spans="1:5" ht="22.2" customHeight="1" x14ac:dyDescent="0.3">
      <c r="A28" s="235" t="s">
        <v>170</v>
      </c>
      <c r="B28" s="241" t="s">
        <v>380</v>
      </c>
      <c r="C28" s="242" t="s">
        <v>379</v>
      </c>
      <c r="D28" s="238">
        <v>103.75</v>
      </c>
      <c r="E28" s="239">
        <v>645100</v>
      </c>
    </row>
    <row r="29" spans="1:5" ht="16.8" x14ac:dyDescent="0.3">
      <c r="A29" s="235" t="s">
        <v>381</v>
      </c>
      <c r="B29" s="241" t="s">
        <v>397</v>
      </c>
      <c r="C29" s="242" t="s">
        <v>382</v>
      </c>
      <c r="D29" s="238">
        <v>169.31</v>
      </c>
      <c r="E29" s="239">
        <v>1250100</v>
      </c>
    </row>
    <row r="30" spans="1:5" ht="16.8" x14ac:dyDescent="0.3">
      <c r="A30" s="235" t="s">
        <v>383</v>
      </c>
      <c r="B30" s="243" t="s">
        <v>384</v>
      </c>
      <c r="C30" s="237" t="s">
        <v>382</v>
      </c>
      <c r="D30" s="238">
        <v>163.38999999999999</v>
      </c>
      <c r="E30" s="239">
        <v>1149800</v>
      </c>
    </row>
    <row r="31" spans="1:5" ht="16.8" x14ac:dyDescent="0.3">
      <c r="A31" s="235" t="s">
        <v>385</v>
      </c>
      <c r="B31" s="243" t="s">
        <v>386</v>
      </c>
      <c r="C31" s="237" t="s">
        <v>382</v>
      </c>
      <c r="D31" s="238">
        <v>158.46</v>
      </c>
      <c r="E31" s="239">
        <v>1121100</v>
      </c>
    </row>
    <row r="32" spans="1:5" ht="16.8" customHeight="1" x14ac:dyDescent="0.3">
      <c r="A32" s="235" t="s">
        <v>387</v>
      </c>
      <c r="B32" s="243" t="s">
        <v>388</v>
      </c>
      <c r="C32" s="237" t="s">
        <v>382</v>
      </c>
      <c r="D32" s="238">
        <v>156.44999999999999</v>
      </c>
      <c r="E32" s="239">
        <v>1133300</v>
      </c>
    </row>
    <row r="33" spans="1:5" ht="18" customHeight="1" x14ac:dyDescent="0.3">
      <c r="A33" s="235" t="s">
        <v>478</v>
      </c>
      <c r="B33" s="243" t="s">
        <v>479</v>
      </c>
      <c r="C33" s="242" t="s">
        <v>375</v>
      </c>
      <c r="D33" s="238">
        <v>98.23</v>
      </c>
      <c r="E33" s="335"/>
    </row>
    <row r="34" spans="1:5" ht="18" customHeight="1" x14ac:dyDescent="0.3">
      <c r="A34" s="235" t="s">
        <v>480</v>
      </c>
      <c r="B34" s="243" t="s">
        <v>481</v>
      </c>
      <c r="C34" s="237" t="s">
        <v>382</v>
      </c>
      <c r="D34" s="238">
        <v>127.24</v>
      </c>
      <c r="E34" s="335"/>
    </row>
    <row r="35" spans="1:5" ht="18" customHeight="1" x14ac:dyDescent="0.3">
      <c r="A35" s="235" t="s">
        <v>482</v>
      </c>
      <c r="B35" s="243" t="s">
        <v>483</v>
      </c>
      <c r="C35" s="242" t="s">
        <v>484</v>
      </c>
      <c r="D35" s="238">
        <v>116.5</v>
      </c>
      <c r="E35" s="335"/>
    </row>
    <row r="36" spans="1:5" ht="17.399999999999999" x14ac:dyDescent="0.3">
      <c r="A36" s="349" t="s">
        <v>389</v>
      </c>
      <c r="B36" s="349"/>
      <c r="C36" s="349"/>
      <c r="D36" s="349"/>
      <c r="E36" s="336"/>
    </row>
    <row r="37" spans="1:5" ht="47.4" customHeight="1" x14ac:dyDescent="0.3">
      <c r="A37" s="235" t="s">
        <v>159</v>
      </c>
      <c r="B37" s="240" t="s">
        <v>390</v>
      </c>
      <c r="C37" s="237" t="s">
        <v>391</v>
      </c>
      <c r="D37" s="238">
        <v>179.9</v>
      </c>
      <c r="E37" s="239">
        <v>1336400</v>
      </c>
    </row>
    <row r="38" spans="1:5" ht="35.4" customHeight="1" x14ac:dyDescent="0.3">
      <c r="A38" s="235" t="s">
        <v>167</v>
      </c>
      <c r="B38" s="244" t="s">
        <v>392</v>
      </c>
      <c r="C38" s="242" t="s">
        <v>393</v>
      </c>
      <c r="D38" s="238">
        <v>216.09</v>
      </c>
      <c r="E38" s="239">
        <v>1554200</v>
      </c>
    </row>
    <row r="39" spans="1:5" ht="16.8" x14ac:dyDescent="0.3">
      <c r="A39" s="235" t="s">
        <v>168</v>
      </c>
      <c r="B39" s="243" t="s">
        <v>394</v>
      </c>
      <c r="C39" s="242" t="s">
        <v>395</v>
      </c>
      <c r="D39" s="238">
        <v>145.78</v>
      </c>
      <c r="E39" s="239">
        <v>1092000</v>
      </c>
    </row>
    <row r="40" spans="1:5" ht="16.8" x14ac:dyDescent="0.3">
      <c r="A40" s="235" t="s">
        <v>169</v>
      </c>
      <c r="B40" s="243" t="s">
        <v>396</v>
      </c>
      <c r="C40" s="242" t="s">
        <v>395</v>
      </c>
      <c r="D40" s="238">
        <v>145.78</v>
      </c>
      <c r="E40" s="239">
        <v>1092000</v>
      </c>
    </row>
    <row r="41" spans="1:5" ht="35.4" customHeight="1" x14ac:dyDescent="0.3">
      <c r="A41" s="235" t="s">
        <v>170</v>
      </c>
      <c r="B41" s="337" t="s">
        <v>485</v>
      </c>
      <c r="C41" s="242" t="s">
        <v>484</v>
      </c>
      <c r="D41" s="238">
        <v>91.16</v>
      </c>
      <c r="E41" s="239">
        <v>515500</v>
      </c>
    </row>
    <row r="42" spans="1:5" ht="16.8" x14ac:dyDescent="0.3">
      <c r="A42" s="245"/>
      <c r="B42" s="246"/>
      <c r="C42" s="247"/>
      <c r="D42" s="248"/>
      <c r="E42" s="247"/>
    </row>
    <row r="43" spans="1:5" ht="18" hidden="1" x14ac:dyDescent="0.35">
      <c r="A43" s="271" t="s">
        <v>409</v>
      </c>
      <c r="C43" s="273"/>
      <c r="D43" s="274" t="s">
        <v>410</v>
      </c>
      <c r="E43" s="271" t="s">
        <v>410</v>
      </c>
    </row>
    <row r="44" spans="1:5" ht="16.8" x14ac:dyDescent="0.3">
      <c r="A44" s="245"/>
      <c r="B44" s="350"/>
      <c r="C44" s="350"/>
      <c r="D44" s="350"/>
      <c r="E44" s="350"/>
    </row>
    <row r="45" spans="1:5" ht="16.8" x14ac:dyDescent="0.3">
      <c r="A45" s="246"/>
      <c r="B45" s="350"/>
      <c r="C45" s="350"/>
      <c r="D45" s="350"/>
      <c r="E45" s="350"/>
    </row>
    <row r="46" spans="1:5" ht="16.8" x14ac:dyDescent="0.3">
      <c r="A46" s="246"/>
      <c r="B46" s="246"/>
      <c r="C46" s="246"/>
      <c r="D46" s="246"/>
      <c r="E46" s="246"/>
    </row>
  </sheetData>
  <mergeCells count="13">
    <mergeCell ref="A20:D20"/>
    <mergeCell ref="A23:D23"/>
    <mergeCell ref="A36:D36"/>
    <mergeCell ref="B44:E45"/>
    <mergeCell ref="C7:D7"/>
    <mergeCell ref="A12:E12"/>
    <mergeCell ref="A13:E13"/>
    <mergeCell ref="A14:E14"/>
    <mergeCell ref="A17:A18"/>
    <mergeCell ref="B17:B18"/>
    <mergeCell ref="C17:C18"/>
    <mergeCell ref="D17:D18"/>
    <mergeCell ref="E17:E18"/>
  </mergeCells>
  <pageMargins left="1.1811023622047245" right="0.39370078740157483" top="0.74803149606299213" bottom="0.74803149606299213" header="0.31496062992125984" footer="0.31496062992125984"/>
  <pageSetup paperSize="9" scale="7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topLeftCell="A7" zoomScale="125" zoomScaleNormal="100" zoomScaleSheetLayoutView="85" workbookViewId="0">
      <selection activeCell="A41" sqref="A41:XFD41"/>
    </sheetView>
  </sheetViews>
  <sheetFormatPr defaultColWidth="9.109375" defaultRowHeight="15" x14ac:dyDescent="0.25"/>
  <cols>
    <col min="1" max="1" width="4.109375" style="86" customWidth="1"/>
    <col min="2" max="2" width="39" style="107" customWidth="1"/>
    <col min="3" max="3" width="9.109375" style="114" hidden="1" customWidth="1"/>
    <col min="4" max="4" width="8.6640625" style="111" hidden="1" customWidth="1"/>
    <col min="5" max="5" width="9.109375" style="111" hidden="1" customWidth="1"/>
    <col min="6" max="6" width="9.6640625" style="111" hidden="1" customWidth="1"/>
    <col min="7" max="8" width="8.5546875" style="111" customWidth="1"/>
    <col min="9" max="9" width="8" style="111" customWidth="1"/>
    <col min="10" max="10" width="10.109375" style="111" customWidth="1"/>
    <col min="11" max="11" width="11" style="86" customWidth="1"/>
    <col min="12" max="20" width="0" style="86" hidden="1" customWidth="1"/>
    <col min="21" max="256" width="9.109375" style="86"/>
    <col min="257" max="257" width="4.109375" style="86" customWidth="1"/>
    <col min="258" max="258" width="39" style="86" customWidth="1"/>
    <col min="259" max="262" width="0" style="86" hidden="1" customWidth="1"/>
    <col min="263" max="264" width="8.5546875" style="86" customWidth="1"/>
    <col min="265" max="265" width="8" style="86" customWidth="1"/>
    <col min="266" max="266" width="10.109375" style="86" customWidth="1"/>
    <col min="267" max="267" width="11" style="86" customWidth="1"/>
    <col min="268" max="276" width="0" style="86" hidden="1" customWidth="1"/>
    <col min="277" max="512" width="9.109375" style="86"/>
    <col min="513" max="513" width="4.109375" style="86" customWidth="1"/>
    <col min="514" max="514" width="39" style="86" customWidth="1"/>
    <col min="515" max="518" width="0" style="86" hidden="1" customWidth="1"/>
    <col min="519" max="520" width="8.5546875" style="86" customWidth="1"/>
    <col min="521" max="521" width="8" style="86" customWidth="1"/>
    <col min="522" max="522" width="10.109375" style="86" customWidth="1"/>
    <col min="523" max="523" width="11" style="86" customWidth="1"/>
    <col min="524" max="532" width="0" style="86" hidden="1" customWidth="1"/>
    <col min="533" max="768" width="9.109375" style="86"/>
    <col min="769" max="769" width="4.109375" style="86" customWidth="1"/>
    <col min="770" max="770" width="39" style="86" customWidth="1"/>
    <col min="771" max="774" width="0" style="86" hidden="1" customWidth="1"/>
    <col min="775" max="776" width="8.5546875" style="86" customWidth="1"/>
    <col min="777" max="777" width="8" style="86" customWidth="1"/>
    <col min="778" max="778" width="10.109375" style="86" customWidth="1"/>
    <col min="779" max="779" width="11" style="86" customWidth="1"/>
    <col min="780" max="788" width="0" style="86" hidden="1" customWidth="1"/>
    <col min="789" max="1024" width="9.109375" style="86"/>
    <col min="1025" max="1025" width="4.109375" style="86" customWidth="1"/>
    <col min="1026" max="1026" width="39" style="86" customWidth="1"/>
    <col min="1027" max="1030" width="0" style="86" hidden="1" customWidth="1"/>
    <col min="1031" max="1032" width="8.5546875" style="86" customWidth="1"/>
    <col min="1033" max="1033" width="8" style="86" customWidth="1"/>
    <col min="1034" max="1034" width="10.109375" style="86" customWidth="1"/>
    <col min="1035" max="1035" width="11" style="86" customWidth="1"/>
    <col min="1036" max="1044" width="0" style="86" hidden="1" customWidth="1"/>
    <col min="1045" max="1280" width="9.109375" style="86"/>
    <col min="1281" max="1281" width="4.109375" style="86" customWidth="1"/>
    <col min="1282" max="1282" width="39" style="86" customWidth="1"/>
    <col min="1283" max="1286" width="0" style="86" hidden="1" customWidth="1"/>
    <col min="1287" max="1288" width="8.5546875" style="86" customWidth="1"/>
    <col min="1289" max="1289" width="8" style="86" customWidth="1"/>
    <col min="1290" max="1290" width="10.109375" style="86" customWidth="1"/>
    <col min="1291" max="1291" width="11" style="86" customWidth="1"/>
    <col min="1292" max="1300" width="0" style="86" hidden="1" customWidth="1"/>
    <col min="1301" max="1536" width="9.109375" style="86"/>
    <col min="1537" max="1537" width="4.109375" style="86" customWidth="1"/>
    <col min="1538" max="1538" width="39" style="86" customWidth="1"/>
    <col min="1539" max="1542" width="0" style="86" hidden="1" customWidth="1"/>
    <col min="1543" max="1544" width="8.5546875" style="86" customWidth="1"/>
    <col min="1545" max="1545" width="8" style="86" customWidth="1"/>
    <col min="1546" max="1546" width="10.109375" style="86" customWidth="1"/>
    <col min="1547" max="1547" width="11" style="86" customWidth="1"/>
    <col min="1548" max="1556" width="0" style="86" hidden="1" customWidth="1"/>
    <col min="1557" max="1792" width="9.109375" style="86"/>
    <col min="1793" max="1793" width="4.109375" style="86" customWidth="1"/>
    <col min="1794" max="1794" width="39" style="86" customWidth="1"/>
    <col min="1795" max="1798" width="0" style="86" hidden="1" customWidth="1"/>
    <col min="1799" max="1800" width="8.5546875" style="86" customWidth="1"/>
    <col min="1801" max="1801" width="8" style="86" customWidth="1"/>
    <col min="1802" max="1802" width="10.109375" style="86" customWidth="1"/>
    <col min="1803" max="1803" width="11" style="86" customWidth="1"/>
    <col min="1804" max="1812" width="0" style="86" hidden="1" customWidth="1"/>
    <col min="1813" max="2048" width="9.109375" style="86"/>
    <col min="2049" max="2049" width="4.109375" style="86" customWidth="1"/>
    <col min="2050" max="2050" width="39" style="86" customWidth="1"/>
    <col min="2051" max="2054" width="0" style="86" hidden="1" customWidth="1"/>
    <col min="2055" max="2056" width="8.5546875" style="86" customWidth="1"/>
    <col min="2057" max="2057" width="8" style="86" customWidth="1"/>
    <col min="2058" max="2058" width="10.109375" style="86" customWidth="1"/>
    <col min="2059" max="2059" width="11" style="86" customWidth="1"/>
    <col min="2060" max="2068" width="0" style="86" hidden="1" customWidth="1"/>
    <col min="2069" max="2304" width="9.109375" style="86"/>
    <col min="2305" max="2305" width="4.109375" style="86" customWidth="1"/>
    <col min="2306" max="2306" width="39" style="86" customWidth="1"/>
    <col min="2307" max="2310" width="0" style="86" hidden="1" customWidth="1"/>
    <col min="2311" max="2312" width="8.5546875" style="86" customWidth="1"/>
    <col min="2313" max="2313" width="8" style="86" customWidth="1"/>
    <col min="2314" max="2314" width="10.109375" style="86" customWidth="1"/>
    <col min="2315" max="2315" width="11" style="86" customWidth="1"/>
    <col min="2316" max="2324" width="0" style="86" hidden="1" customWidth="1"/>
    <col min="2325" max="2560" width="9.109375" style="86"/>
    <col min="2561" max="2561" width="4.109375" style="86" customWidth="1"/>
    <col min="2562" max="2562" width="39" style="86" customWidth="1"/>
    <col min="2563" max="2566" width="0" style="86" hidden="1" customWidth="1"/>
    <col min="2567" max="2568" width="8.5546875" style="86" customWidth="1"/>
    <col min="2569" max="2569" width="8" style="86" customWidth="1"/>
    <col min="2570" max="2570" width="10.109375" style="86" customWidth="1"/>
    <col min="2571" max="2571" width="11" style="86" customWidth="1"/>
    <col min="2572" max="2580" width="0" style="86" hidden="1" customWidth="1"/>
    <col min="2581" max="2816" width="9.109375" style="86"/>
    <col min="2817" max="2817" width="4.109375" style="86" customWidth="1"/>
    <col min="2818" max="2818" width="39" style="86" customWidth="1"/>
    <col min="2819" max="2822" width="0" style="86" hidden="1" customWidth="1"/>
    <col min="2823" max="2824" width="8.5546875" style="86" customWidth="1"/>
    <col min="2825" max="2825" width="8" style="86" customWidth="1"/>
    <col min="2826" max="2826" width="10.109375" style="86" customWidth="1"/>
    <col min="2827" max="2827" width="11" style="86" customWidth="1"/>
    <col min="2828" max="2836" width="0" style="86" hidden="1" customWidth="1"/>
    <col min="2837" max="3072" width="9.109375" style="86"/>
    <col min="3073" max="3073" width="4.109375" style="86" customWidth="1"/>
    <col min="3074" max="3074" width="39" style="86" customWidth="1"/>
    <col min="3075" max="3078" width="0" style="86" hidden="1" customWidth="1"/>
    <col min="3079" max="3080" width="8.5546875" style="86" customWidth="1"/>
    <col min="3081" max="3081" width="8" style="86" customWidth="1"/>
    <col min="3082" max="3082" width="10.109375" style="86" customWidth="1"/>
    <col min="3083" max="3083" width="11" style="86" customWidth="1"/>
    <col min="3084" max="3092" width="0" style="86" hidden="1" customWidth="1"/>
    <col min="3093" max="3328" width="9.109375" style="86"/>
    <col min="3329" max="3329" width="4.109375" style="86" customWidth="1"/>
    <col min="3330" max="3330" width="39" style="86" customWidth="1"/>
    <col min="3331" max="3334" width="0" style="86" hidden="1" customWidth="1"/>
    <col min="3335" max="3336" width="8.5546875" style="86" customWidth="1"/>
    <col min="3337" max="3337" width="8" style="86" customWidth="1"/>
    <col min="3338" max="3338" width="10.109375" style="86" customWidth="1"/>
    <col min="3339" max="3339" width="11" style="86" customWidth="1"/>
    <col min="3340" max="3348" width="0" style="86" hidden="1" customWidth="1"/>
    <col min="3349" max="3584" width="9.109375" style="86"/>
    <col min="3585" max="3585" width="4.109375" style="86" customWidth="1"/>
    <col min="3586" max="3586" width="39" style="86" customWidth="1"/>
    <col min="3587" max="3590" width="0" style="86" hidden="1" customWidth="1"/>
    <col min="3591" max="3592" width="8.5546875" style="86" customWidth="1"/>
    <col min="3593" max="3593" width="8" style="86" customWidth="1"/>
    <col min="3594" max="3594" width="10.109375" style="86" customWidth="1"/>
    <col min="3595" max="3595" width="11" style="86" customWidth="1"/>
    <col min="3596" max="3604" width="0" style="86" hidden="1" customWidth="1"/>
    <col min="3605" max="3840" width="9.109375" style="86"/>
    <col min="3841" max="3841" width="4.109375" style="86" customWidth="1"/>
    <col min="3842" max="3842" width="39" style="86" customWidth="1"/>
    <col min="3843" max="3846" width="0" style="86" hidden="1" customWidth="1"/>
    <col min="3847" max="3848" width="8.5546875" style="86" customWidth="1"/>
    <col min="3849" max="3849" width="8" style="86" customWidth="1"/>
    <col min="3850" max="3850" width="10.109375" style="86" customWidth="1"/>
    <col min="3851" max="3851" width="11" style="86" customWidth="1"/>
    <col min="3852" max="3860" width="0" style="86" hidden="1" customWidth="1"/>
    <col min="3861" max="4096" width="9.109375" style="86"/>
    <col min="4097" max="4097" width="4.109375" style="86" customWidth="1"/>
    <col min="4098" max="4098" width="39" style="86" customWidth="1"/>
    <col min="4099" max="4102" width="0" style="86" hidden="1" customWidth="1"/>
    <col min="4103" max="4104" width="8.5546875" style="86" customWidth="1"/>
    <col min="4105" max="4105" width="8" style="86" customWidth="1"/>
    <col min="4106" max="4106" width="10.109375" style="86" customWidth="1"/>
    <col min="4107" max="4107" width="11" style="86" customWidth="1"/>
    <col min="4108" max="4116" width="0" style="86" hidden="1" customWidth="1"/>
    <col min="4117" max="4352" width="9.109375" style="86"/>
    <col min="4353" max="4353" width="4.109375" style="86" customWidth="1"/>
    <col min="4354" max="4354" width="39" style="86" customWidth="1"/>
    <col min="4355" max="4358" width="0" style="86" hidden="1" customWidth="1"/>
    <col min="4359" max="4360" width="8.5546875" style="86" customWidth="1"/>
    <col min="4361" max="4361" width="8" style="86" customWidth="1"/>
    <col min="4362" max="4362" width="10.109375" style="86" customWidth="1"/>
    <col min="4363" max="4363" width="11" style="86" customWidth="1"/>
    <col min="4364" max="4372" width="0" style="86" hidden="1" customWidth="1"/>
    <col min="4373" max="4608" width="9.109375" style="86"/>
    <col min="4609" max="4609" width="4.109375" style="86" customWidth="1"/>
    <col min="4610" max="4610" width="39" style="86" customWidth="1"/>
    <col min="4611" max="4614" width="0" style="86" hidden="1" customWidth="1"/>
    <col min="4615" max="4616" width="8.5546875" style="86" customWidth="1"/>
    <col min="4617" max="4617" width="8" style="86" customWidth="1"/>
    <col min="4618" max="4618" width="10.109375" style="86" customWidth="1"/>
    <col min="4619" max="4619" width="11" style="86" customWidth="1"/>
    <col min="4620" max="4628" width="0" style="86" hidden="1" customWidth="1"/>
    <col min="4629" max="4864" width="9.109375" style="86"/>
    <col min="4865" max="4865" width="4.109375" style="86" customWidth="1"/>
    <col min="4866" max="4866" width="39" style="86" customWidth="1"/>
    <col min="4867" max="4870" width="0" style="86" hidden="1" customWidth="1"/>
    <col min="4871" max="4872" width="8.5546875" style="86" customWidth="1"/>
    <col min="4873" max="4873" width="8" style="86" customWidth="1"/>
    <col min="4874" max="4874" width="10.109375" style="86" customWidth="1"/>
    <col min="4875" max="4875" width="11" style="86" customWidth="1"/>
    <col min="4876" max="4884" width="0" style="86" hidden="1" customWidth="1"/>
    <col min="4885" max="5120" width="9.109375" style="86"/>
    <col min="5121" max="5121" width="4.109375" style="86" customWidth="1"/>
    <col min="5122" max="5122" width="39" style="86" customWidth="1"/>
    <col min="5123" max="5126" width="0" style="86" hidden="1" customWidth="1"/>
    <col min="5127" max="5128" width="8.5546875" style="86" customWidth="1"/>
    <col min="5129" max="5129" width="8" style="86" customWidth="1"/>
    <col min="5130" max="5130" width="10.109375" style="86" customWidth="1"/>
    <col min="5131" max="5131" width="11" style="86" customWidth="1"/>
    <col min="5132" max="5140" width="0" style="86" hidden="1" customWidth="1"/>
    <col min="5141" max="5376" width="9.109375" style="86"/>
    <col min="5377" max="5377" width="4.109375" style="86" customWidth="1"/>
    <col min="5378" max="5378" width="39" style="86" customWidth="1"/>
    <col min="5379" max="5382" width="0" style="86" hidden="1" customWidth="1"/>
    <col min="5383" max="5384" width="8.5546875" style="86" customWidth="1"/>
    <col min="5385" max="5385" width="8" style="86" customWidth="1"/>
    <col min="5386" max="5386" width="10.109375" style="86" customWidth="1"/>
    <col min="5387" max="5387" width="11" style="86" customWidth="1"/>
    <col min="5388" max="5396" width="0" style="86" hidden="1" customWidth="1"/>
    <col min="5397" max="5632" width="9.109375" style="86"/>
    <col min="5633" max="5633" width="4.109375" style="86" customWidth="1"/>
    <col min="5634" max="5634" width="39" style="86" customWidth="1"/>
    <col min="5635" max="5638" width="0" style="86" hidden="1" customWidth="1"/>
    <col min="5639" max="5640" width="8.5546875" style="86" customWidth="1"/>
    <col min="5641" max="5641" width="8" style="86" customWidth="1"/>
    <col min="5642" max="5642" width="10.109375" style="86" customWidth="1"/>
    <col min="5643" max="5643" width="11" style="86" customWidth="1"/>
    <col min="5644" max="5652" width="0" style="86" hidden="1" customWidth="1"/>
    <col min="5653" max="5888" width="9.109375" style="86"/>
    <col min="5889" max="5889" width="4.109375" style="86" customWidth="1"/>
    <col min="5890" max="5890" width="39" style="86" customWidth="1"/>
    <col min="5891" max="5894" width="0" style="86" hidden="1" customWidth="1"/>
    <col min="5895" max="5896" width="8.5546875" style="86" customWidth="1"/>
    <col min="5897" max="5897" width="8" style="86" customWidth="1"/>
    <col min="5898" max="5898" width="10.109375" style="86" customWidth="1"/>
    <col min="5899" max="5899" width="11" style="86" customWidth="1"/>
    <col min="5900" max="5908" width="0" style="86" hidden="1" customWidth="1"/>
    <col min="5909" max="6144" width="9.109375" style="86"/>
    <col min="6145" max="6145" width="4.109375" style="86" customWidth="1"/>
    <col min="6146" max="6146" width="39" style="86" customWidth="1"/>
    <col min="6147" max="6150" width="0" style="86" hidden="1" customWidth="1"/>
    <col min="6151" max="6152" width="8.5546875" style="86" customWidth="1"/>
    <col min="6153" max="6153" width="8" style="86" customWidth="1"/>
    <col min="6154" max="6154" width="10.109375" style="86" customWidth="1"/>
    <col min="6155" max="6155" width="11" style="86" customWidth="1"/>
    <col min="6156" max="6164" width="0" style="86" hidden="1" customWidth="1"/>
    <col min="6165" max="6400" width="9.109375" style="86"/>
    <col min="6401" max="6401" width="4.109375" style="86" customWidth="1"/>
    <col min="6402" max="6402" width="39" style="86" customWidth="1"/>
    <col min="6403" max="6406" width="0" style="86" hidden="1" customWidth="1"/>
    <col min="6407" max="6408" width="8.5546875" style="86" customWidth="1"/>
    <col min="6409" max="6409" width="8" style="86" customWidth="1"/>
    <col min="6410" max="6410" width="10.109375" style="86" customWidth="1"/>
    <col min="6411" max="6411" width="11" style="86" customWidth="1"/>
    <col min="6412" max="6420" width="0" style="86" hidden="1" customWidth="1"/>
    <col min="6421" max="6656" width="9.109375" style="86"/>
    <col min="6657" max="6657" width="4.109375" style="86" customWidth="1"/>
    <col min="6658" max="6658" width="39" style="86" customWidth="1"/>
    <col min="6659" max="6662" width="0" style="86" hidden="1" customWidth="1"/>
    <col min="6663" max="6664" width="8.5546875" style="86" customWidth="1"/>
    <col min="6665" max="6665" width="8" style="86" customWidth="1"/>
    <col min="6666" max="6666" width="10.109375" style="86" customWidth="1"/>
    <col min="6667" max="6667" width="11" style="86" customWidth="1"/>
    <col min="6668" max="6676" width="0" style="86" hidden="1" customWidth="1"/>
    <col min="6677" max="6912" width="9.109375" style="86"/>
    <col min="6913" max="6913" width="4.109375" style="86" customWidth="1"/>
    <col min="6914" max="6914" width="39" style="86" customWidth="1"/>
    <col min="6915" max="6918" width="0" style="86" hidden="1" customWidth="1"/>
    <col min="6919" max="6920" width="8.5546875" style="86" customWidth="1"/>
    <col min="6921" max="6921" width="8" style="86" customWidth="1"/>
    <col min="6922" max="6922" width="10.109375" style="86" customWidth="1"/>
    <col min="6923" max="6923" width="11" style="86" customWidth="1"/>
    <col min="6924" max="6932" width="0" style="86" hidden="1" customWidth="1"/>
    <col min="6933" max="7168" width="9.109375" style="86"/>
    <col min="7169" max="7169" width="4.109375" style="86" customWidth="1"/>
    <col min="7170" max="7170" width="39" style="86" customWidth="1"/>
    <col min="7171" max="7174" width="0" style="86" hidden="1" customWidth="1"/>
    <col min="7175" max="7176" width="8.5546875" style="86" customWidth="1"/>
    <col min="7177" max="7177" width="8" style="86" customWidth="1"/>
    <col min="7178" max="7178" width="10.109375" style="86" customWidth="1"/>
    <col min="7179" max="7179" width="11" style="86" customWidth="1"/>
    <col min="7180" max="7188" width="0" style="86" hidden="1" customWidth="1"/>
    <col min="7189" max="7424" width="9.109375" style="86"/>
    <col min="7425" max="7425" width="4.109375" style="86" customWidth="1"/>
    <col min="7426" max="7426" width="39" style="86" customWidth="1"/>
    <col min="7427" max="7430" width="0" style="86" hidden="1" customWidth="1"/>
    <col min="7431" max="7432" width="8.5546875" style="86" customWidth="1"/>
    <col min="7433" max="7433" width="8" style="86" customWidth="1"/>
    <col min="7434" max="7434" width="10.109375" style="86" customWidth="1"/>
    <col min="7435" max="7435" width="11" style="86" customWidth="1"/>
    <col min="7436" max="7444" width="0" style="86" hidden="1" customWidth="1"/>
    <col min="7445" max="7680" width="9.109375" style="86"/>
    <col min="7681" max="7681" width="4.109375" style="86" customWidth="1"/>
    <col min="7682" max="7682" width="39" style="86" customWidth="1"/>
    <col min="7683" max="7686" width="0" style="86" hidden="1" customWidth="1"/>
    <col min="7687" max="7688" width="8.5546875" style="86" customWidth="1"/>
    <col min="7689" max="7689" width="8" style="86" customWidth="1"/>
    <col min="7690" max="7690" width="10.109375" style="86" customWidth="1"/>
    <col min="7691" max="7691" width="11" style="86" customWidth="1"/>
    <col min="7692" max="7700" width="0" style="86" hidden="1" customWidth="1"/>
    <col min="7701" max="7936" width="9.109375" style="86"/>
    <col min="7937" max="7937" width="4.109375" style="86" customWidth="1"/>
    <col min="7938" max="7938" width="39" style="86" customWidth="1"/>
    <col min="7939" max="7942" width="0" style="86" hidden="1" customWidth="1"/>
    <col min="7943" max="7944" width="8.5546875" style="86" customWidth="1"/>
    <col min="7945" max="7945" width="8" style="86" customWidth="1"/>
    <col min="7946" max="7946" width="10.109375" style="86" customWidth="1"/>
    <col min="7947" max="7947" width="11" style="86" customWidth="1"/>
    <col min="7948" max="7956" width="0" style="86" hidden="1" customWidth="1"/>
    <col min="7957" max="8192" width="9.109375" style="86"/>
    <col min="8193" max="8193" width="4.109375" style="86" customWidth="1"/>
    <col min="8194" max="8194" width="39" style="86" customWidth="1"/>
    <col min="8195" max="8198" width="0" style="86" hidden="1" customWidth="1"/>
    <col min="8199" max="8200" width="8.5546875" style="86" customWidth="1"/>
    <col min="8201" max="8201" width="8" style="86" customWidth="1"/>
    <col min="8202" max="8202" width="10.109375" style="86" customWidth="1"/>
    <col min="8203" max="8203" width="11" style="86" customWidth="1"/>
    <col min="8204" max="8212" width="0" style="86" hidden="1" customWidth="1"/>
    <col min="8213" max="8448" width="9.109375" style="86"/>
    <col min="8449" max="8449" width="4.109375" style="86" customWidth="1"/>
    <col min="8450" max="8450" width="39" style="86" customWidth="1"/>
    <col min="8451" max="8454" width="0" style="86" hidden="1" customWidth="1"/>
    <col min="8455" max="8456" width="8.5546875" style="86" customWidth="1"/>
    <col min="8457" max="8457" width="8" style="86" customWidth="1"/>
    <col min="8458" max="8458" width="10.109375" style="86" customWidth="1"/>
    <col min="8459" max="8459" width="11" style="86" customWidth="1"/>
    <col min="8460" max="8468" width="0" style="86" hidden="1" customWidth="1"/>
    <col min="8469" max="8704" width="9.109375" style="86"/>
    <col min="8705" max="8705" width="4.109375" style="86" customWidth="1"/>
    <col min="8706" max="8706" width="39" style="86" customWidth="1"/>
    <col min="8707" max="8710" width="0" style="86" hidden="1" customWidth="1"/>
    <col min="8711" max="8712" width="8.5546875" style="86" customWidth="1"/>
    <col min="8713" max="8713" width="8" style="86" customWidth="1"/>
    <col min="8714" max="8714" width="10.109375" style="86" customWidth="1"/>
    <col min="8715" max="8715" width="11" style="86" customWidth="1"/>
    <col min="8716" max="8724" width="0" style="86" hidden="1" customWidth="1"/>
    <col min="8725" max="8960" width="9.109375" style="86"/>
    <col min="8961" max="8961" width="4.109375" style="86" customWidth="1"/>
    <col min="8962" max="8962" width="39" style="86" customWidth="1"/>
    <col min="8963" max="8966" width="0" style="86" hidden="1" customWidth="1"/>
    <col min="8967" max="8968" width="8.5546875" style="86" customWidth="1"/>
    <col min="8969" max="8969" width="8" style="86" customWidth="1"/>
    <col min="8970" max="8970" width="10.109375" style="86" customWidth="1"/>
    <col min="8971" max="8971" width="11" style="86" customWidth="1"/>
    <col min="8972" max="8980" width="0" style="86" hidden="1" customWidth="1"/>
    <col min="8981" max="9216" width="9.109375" style="86"/>
    <col min="9217" max="9217" width="4.109375" style="86" customWidth="1"/>
    <col min="9218" max="9218" width="39" style="86" customWidth="1"/>
    <col min="9219" max="9222" width="0" style="86" hidden="1" customWidth="1"/>
    <col min="9223" max="9224" width="8.5546875" style="86" customWidth="1"/>
    <col min="9225" max="9225" width="8" style="86" customWidth="1"/>
    <col min="9226" max="9226" width="10.109375" style="86" customWidth="1"/>
    <col min="9227" max="9227" width="11" style="86" customWidth="1"/>
    <col min="9228" max="9236" width="0" style="86" hidden="1" customWidth="1"/>
    <col min="9237" max="9472" width="9.109375" style="86"/>
    <col min="9473" max="9473" width="4.109375" style="86" customWidth="1"/>
    <col min="9474" max="9474" width="39" style="86" customWidth="1"/>
    <col min="9475" max="9478" width="0" style="86" hidden="1" customWidth="1"/>
    <col min="9479" max="9480" width="8.5546875" style="86" customWidth="1"/>
    <col min="9481" max="9481" width="8" style="86" customWidth="1"/>
    <col min="9482" max="9482" width="10.109375" style="86" customWidth="1"/>
    <col min="9483" max="9483" width="11" style="86" customWidth="1"/>
    <col min="9484" max="9492" width="0" style="86" hidden="1" customWidth="1"/>
    <col min="9493" max="9728" width="9.109375" style="86"/>
    <col min="9729" max="9729" width="4.109375" style="86" customWidth="1"/>
    <col min="9730" max="9730" width="39" style="86" customWidth="1"/>
    <col min="9731" max="9734" width="0" style="86" hidden="1" customWidth="1"/>
    <col min="9735" max="9736" width="8.5546875" style="86" customWidth="1"/>
    <col min="9737" max="9737" width="8" style="86" customWidth="1"/>
    <col min="9738" max="9738" width="10.109375" style="86" customWidth="1"/>
    <col min="9739" max="9739" width="11" style="86" customWidth="1"/>
    <col min="9740" max="9748" width="0" style="86" hidden="1" customWidth="1"/>
    <col min="9749" max="9984" width="9.109375" style="86"/>
    <col min="9985" max="9985" width="4.109375" style="86" customWidth="1"/>
    <col min="9986" max="9986" width="39" style="86" customWidth="1"/>
    <col min="9987" max="9990" width="0" style="86" hidden="1" customWidth="1"/>
    <col min="9991" max="9992" width="8.5546875" style="86" customWidth="1"/>
    <col min="9993" max="9993" width="8" style="86" customWidth="1"/>
    <col min="9994" max="9994" width="10.109375" style="86" customWidth="1"/>
    <col min="9995" max="9995" width="11" style="86" customWidth="1"/>
    <col min="9996" max="10004" width="0" style="86" hidden="1" customWidth="1"/>
    <col min="10005" max="10240" width="9.109375" style="86"/>
    <col min="10241" max="10241" width="4.109375" style="86" customWidth="1"/>
    <col min="10242" max="10242" width="39" style="86" customWidth="1"/>
    <col min="10243" max="10246" width="0" style="86" hidden="1" customWidth="1"/>
    <col min="10247" max="10248" width="8.5546875" style="86" customWidth="1"/>
    <col min="10249" max="10249" width="8" style="86" customWidth="1"/>
    <col min="10250" max="10250" width="10.109375" style="86" customWidth="1"/>
    <col min="10251" max="10251" width="11" style="86" customWidth="1"/>
    <col min="10252" max="10260" width="0" style="86" hidden="1" customWidth="1"/>
    <col min="10261" max="10496" width="9.109375" style="86"/>
    <col min="10497" max="10497" width="4.109375" style="86" customWidth="1"/>
    <col min="10498" max="10498" width="39" style="86" customWidth="1"/>
    <col min="10499" max="10502" width="0" style="86" hidden="1" customWidth="1"/>
    <col min="10503" max="10504" width="8.5546875" style="86" customWidth="1"/>
    <col min="10505" max="10505" width="8" style="86" customWidth="1"/>
    <col min="10506" max="10506" width="10.109375" style="86" customWidth="1"/>
    <col min="10507" max="10507" width="11" style="86" customWidth="1"/>
    <col min="10508" max="10516" width="0" style="86" hidden="1" customWidth="1"/>
    <col min="10517" max="10752" width="9.109375" style="86"/>
    <col min="10753" max="10753" width="4.109375" style="86" customWidth="1"/>
    <col min="10754" max="10754" width="39" style="86" customWidth="1"/>
    <col min="10755" max="10758" width="0" style="86" hidden="1" customWidth="1"/>
    <col min="10759" max="10760" width="8.5546875" style="86" customWidth="1"/>
    <col min="10761" max="10761" width="8" style="86" customWidth="1"/>
    <col min="10762" max="10762" width="10.109375" style="86" customWidth="1"/>
    <col min="10763" max="10763" width="11" style="86" customWidth="1"/>
    <col min="10764" max="10772" width="0" style="86" hidden="1" customWidth="1"/>
    <col min="10773" max="11008" width="9.109375" style="86"/>
    <col min="11009" max="11009" width="4.109375" style="86" customWidth="1"/>
    <col min="11010" max="11010" width="39" style="86" customWidth="1"/>
    <col min="11011" max="11014" width="0" style="86" hidden="1" customWidth="1"/>
    <col min="11015" max="11016" width="8.5546875" style="86" customWidth="1"/>
    <col min="11017" max="11017" width="8" style="86" customWidth="1"/>
    <col min="11018" max="11018" width="10.109375" style="86" customWidth="1"/>
    <col min="11019" max="11019" width="11" style="86" customWidth="1"/>
    <col min="11020" max="11028" width="0" style="86" hidden="1" customWidth="1"/>
    <col min="11029" max="11264" width="9.109375" style="86"/>
    <col min="11265" max="11265" width="4.109375" style="86" customWidth="1"/>
    <col min="11266" max="11266" width="39" style="86" customWidth="1"/>
    <col min="11267" max="11270" width="0" style="86" hidden="1" customWidth="1"/>
    <col min="11271" max="11272" width="8.5546875" style="86" customWidth="1"/>
    <col min="11273" max="11273" width="8" style="86" customWidth="1"/>
    <col min="11274" max="11274" width="10.109375" style="86" customWidth="1"/>
    <col min="11275" max="11275" width="11" style="86" customWidth="1"/>
    <col min="11276" max="11284" width="0" style="86" hidden="1" customWidth="1"/>
    <col min="11285" max="11520" width="9.109375" style="86"/>
    <col min="11521" max="11521" width="4.109375" style="86" customWidth="1"/>
    <col min="11522" max="11522" width="39" style="86" customWidth="1"/>
    <col min="11523" max="11526" width="0" style="86" hidden="1" customWidth="1"/>
    <col min="11527" max="11528" width="8.5546875" style="86" customWidth="1"/>
    <col min="11529" max="11529" width="8" style="86" customWidth="1"/>
    <col min="11530" max="11530" width="10.109375" style="86" customWidth="1"/>
    <col min="11531" max="11531" width="11" style="86" customWidth="1"/>
    <col min="11532" max="11540" width="0" style="86" hidden="1" customWidth="1"/>
    <col min="11541" max="11776" width="9.109375" style="86"/>
    <col min="11777" max="11777" width="4.109375" style="86" customWidth="1"/>
    <col min="11778" max="11778" width="39" style="86" customWidth="1"/>
    <col min="11779" max="11782" width="0" style="86" hidden="1" customWidth="1"/>
    <col min="11783" max="11784" width="8.5546875" style="86" customWidth="1"/>
    <col min="11785" max="11785" width="8" style="86" customWidth="1"/>
    <col min="11786" max="11786" width="10.109375" style="86" customWidth="1"/>
    <col min="11787" max="11787" width="11" style="86" customWidth="1"/>
    <col min="11788" max="11796" width="0" style="86" hidden="1" customWidth="1"/>
    <col min="11797" max="12032" width="9.109375" style="86"/>
    <col min="12033" max="12033" width="4.109375" style="86" customWidth="1"/>
    <col min="12034" max="12034" width="39" style="86" customWidth="1"/>
    <col min="12035" max="12038" width="0" style="86" hidden="1" customWidth="1"/>
    <col min="12039" max="12040" width="8.5546875" style="86" customWidth="1"/>
    <col min="12041" max="12041" width="8" style="86" customWidth="1"/>
    <col min="12042" max="12042" width="10.109375" style="86" customWidth="1"/>
    <col min="12043" max="12043" width="11" style="86" customWidth="1"/>
    <col min="12044" max="12052" width="0" style="86" hidden="1" customWidth="1"/>
    <col min="12053" max="12288" width="9.109375" style="86"/>
    <col min="12289" max="12289" width="4.109375" style="86" customWidth="1"/>
    <col min="12290" max="12290" width="39" style="86" customWidth="1"/>
    <col min="12291" max="12294" width="0" style="86" hidden="1" customWidth="1"/>
    <col min="12295" max="12296" width="8.5546875" style="86" customWidth="1"/>
    <col min="12297" max="12297" width="8" style="86" customWidth="1"/>
    <col min="12298" max="12298" width="10.109375" style="86" customWidth="1"/>
    <col min="12299" max="12299" width="11" style="86" customWidth="1"/>
    <col min="12300" max="12308" width="0" style="86" hidden="1" customWidth="1"/>
    <col min="12309" max="12544" width="9.109375" style="86"/>
    <col min="12545" max="12545" width="4.109375" style="86" customWidth="1"/>
    <col min="12546" max="12546" width="39" style="86" customWidth="1"/>
    <col min="12547" max="12550" width="0" style="86" hidden="1" customWidth="1"/>
    <col min="12551" max="12552" width="8.5546875" style="86" customWidth="1"/>
    <col min="12553" max="12553" width="8" style="86" customWidth="1"/>
    <col min="12554" max="12554" width="10.109375" style="86" customWidth="1"/>
    <col min="12555" max="12555" width="11" style="86" customWidth="1"/>
    <col min="12556" max="12564" width="0" style="86" hidden="1" customWidth="1"/>
    <col min="12565" max="12800" width="9.109375" style="86"/>
    <col min="12801" max="12801" width="4.109375" style="86" customWidth="1"/>
    <col min="12802" max="12802" width="39" style="86" customWidth="1"/>
    <col min="12803" max="12806" width="0" style="86" hidden="1" customWidth="1"/>
    <col min="12807" max="12808" width="8.5546875" style="86" customWidth="1"/>
    <col min="12809" max="12809" width="8" style="86" customWidth="1"/>
    <col min="12810" max="12810" width="10.109375" style="86" customWidth="1"/>
    <col min="12811" max="12811" width="11" style="86" customWidth="1"/>
    <col min="12812" max="12820" width="0" style="86" hidden="1" customWidth="1"/>
    <col min="12821" max="13056" width="9.109375" style="86"/>
    <col min="13057" max="13057" width="4.109375" style="86" customWidth="1"/>
    <col min="13058" max="13058" width="39" style="86" customWidth="1"/>
    <col min="13059" max="13062" width="0" style="86" hidden="1" customWidth="1"/>
    <col min="13063" max="13064" width="8.5546875" style="86" customWidth="1"/>
    <col min="13065" max="13065" width="8" style="86" customWidth="1"/>
    <col min="13066" max="13066" width="10.109375" style="86" customWidth="1"/>
    <col min="13067" max="13067" width="11" style="86" customWidth="1"/>
    <col min="13068" max="13076" width="0" style="86" hidden="1" customWidth="1"/>
    <col min="13077" max="13312" width="9.109375" style="86"/>
    <col min="13313" max="13313" width="4.109375" style="86" customWidth="1"/>
    <col min="13314" max="13314" width="39" style="86" customWidth="1"/>
    <col min="13315" max="13318" width="0" style="86" hidden="1" customWidth="1"/>
    <col min="13319" max="13320" width="8.5546875" style="86" customWidth="1"/>
    <col min="13321" max="13321" width="8" style="86" customWidth="1"/>
    <col min="13322" max="13322" width="10.109375" style="86" customWidth="1"/>
    <col min="13323" max="13323" width="11" style="86" customWidth="1"/>
    <col min="13324" max="13332" width="0" style="86" hidden="1" customWidth="1"/>
    <col min="13333" max="13568" width="9.109375" style="86"/>
    <col min="13569" max="13569" width="4.109375" style="86" customWidth="1"/>
    <col min="13570" max="13570" width="39" style="86" customWidth="1"/>
    <col min="13571" max="13574" width="0" style="86" hidden="1" customWidth="1"/>
    <col min="13575" max="13576" width="8.5546875" style="86" customWidth="1"/>
    <col min="13577" max="13577" width="8" style="86" customWidth="1"/>
    <col min="13578" max="13578" width="10.109375" style="86" customWidth="1"/>
    <col min="13579" max="13579" width="11" style="86" customWidth="1"/>
    <col min="13580" max="13588" width="0" style="86" hidden="1" customWidth="1"/>
    <col min="13589" max="13824" width="9.109375" style="86"/>
    <col min="13825" max="13825" width="4.109375" style="86" customWidth="1"/>
    <col min="13826" max="13826" width="39" style="86" customWidth="1"/>
    <col min="13827" max="13830" width="0" style="86" hidden="1" customWidth="1"/>
    <col min="13831" max="13832" width="8.5546875" style="86" customWidth="1"/>
    <col min="13833" max="13833" width="8" style="86" customWidth="1"/>
    <col min="13834" max="13834" width="10.109375" style="86" customWidth="1"/>
    <col min="13835" max="13835" width="11" style="86" customWidth="1"/>
    <col min="13836" max="13844" width="0" style="86" hidden="1" customWidth="1"/>
    <col min="13845" max="14080" width="9.109375" style="86"/>
    <col min="14081" max="14081" width="4.109375" style="86" customWidth="1"/>
    <col min="14082" max="14082" width="39" style="86" customWidth="1"/>
    <col min="14083" max="14086" width="0" style="86" hidden="1" customWidth="1"/>
    <col min="14087" max="14088" width="8.5546875" style="86" customWidth="1"/>
    <col min="14089" max="14089" width="8" style="86" customWidth="1"/>
    <col min="14090" max="14090" width="10.109375" style="86" customWidth="1"/>
    <col min="14091" max="14091" width="11" style="86" customWidth="1"/>
    <col min="14092" max="14100" width="0" style="86" hidden="1" customWidth="1"/>
    <col min="14101" max="14336" width="9.109375" style="86"/>
    <col min="14337" max="14337" width="4.109375" style="86" customWidth="1"/>
    <col min="14338" max="14338" width="39" style="86" customWidth="1"/>
    <col min="14339" max="14342" width="0" style="86" hidden="1" customWidth="1"/>
    <col min="14343" max="14344" width="8.5546875" style="86" customWidth="1"/>
    <col min="14345" max="14345" width="8" style="86" customWidth="1"/>
    <col min="14346" max="14346" width="10.109375" style="86" customWidth="1"/>
    <col min="14347" max="14347" width="11" style="86" customWidth="1"/>
    <col min="14348" max="14356" width="0" style="86" hidden="1" customWidth="1"/>
    <col min="14357" max="14592" width="9.109375" style="86"/>
    <col min="14593" max="14593" width="4.109375" style="86" customWidth="1"/>
    <col min="14594" max="14594" width="39" style="86" customWidth="1"/>
    <col min="14595" max="14598" width="0" style="86" hidden="1" customWidth="1"/>
    <col min="14599" max="14600" width="8.5546875" style="86" customWidth="1"/>
    <col min="14601" max="14601" width="8" style="86" customWidth="1"/>
    <col min="14602" max="14602" width="10.109375" style="86" customWidth="1"/>
    <col min="14603" max="14603" width="11" style="86" customWidth="1"/>
    <col min="14604" max="14612" width="0" style="86" hidden="1" customWidth="1"/>
    <col min="14613" max="14848" width="9.109375" style="86"/>
    <col min="14849" max="14849" width="4.109375" style="86" customWidth="1"/>
    <col min="14850" max="14850" width="39" style="86" customWidth="1"/>
    <col min="14851" max="14854" width="0" style="86" hidden="1" customWidth="1"/>
    <col min="14855" max="14856" width="8.5546875" style="86" customWidth="1"/>
    <col min="14857" max="14857" width="8" style="86" customWidth="1"/>
    <col min="14858" max="14858" width="10.109375" style="86" customWidth="1"/>
    <col min="14859" max="14859" width="11" style="86" customWidth="1"/>
    <col min="14860" max="14868" width="0" style="86" hidden="1" customWidth="1"/>
    <col min="14869" max="15104" width="9.109375" style="86"/>
    <col min="15105" max="15105" width="4.109375" style="86" customWidth="1"/>
    <col min="15106" max="15106" width="39" style="86" customWidth="1"/>
    <col min="15107" max="15110" width="0" style="86" hidden="1" customWidth="1"/>
    <col min="15111" max="15112" width="8.5546875" style="86" customWidth="1"/>
    <col min="15113" max="15113" width="8" style="86" customWidth="1"/>
    <col min="15114" max="15114" width="10.109375" style="86" customWidth="1"/>
    <col min="15115" max="15115" width="11" style="86" customWidth="1"/>
    <col min="15116" max="15124" width="0" style="86" hidden="1" customWidth="1"/>
    <col min="15125" max="15360" width="9.109375" style="86"/>
    <col min="15361" max="15361" width="4.109375" style="86" customWidth="1"/>
    <col min="15362" max="15362" width="39" style="86" customWidth="1"/>
    <col min="15363" max="15366" width="0" style="86" hidden="1" customWidth="1"/>
    <col min="15367" max="15368" width="8.5546875" style="86" customWidth="1"/>
    <col min="15369" max="15369" width="8" style="86" customWidth="1"/>
    <col min="15370" max="15370" width="10.109375" style="86" customWidth="1"/>
    <col min="15371" max="15371" width="11" style="86" customWidth="1"/>
    <col min="15372" max="15380" width="0" style="86" hidden="1" customWidth="1"/>
    <col min="15381" max="15616" width="9.109375" style="86"/>
    <col min="15617" max="15617" width="4.109375" style="86" customWidth="1"/>
    <col min="15618" max="15618" width="39" style="86" customWidth="1"/>
    <col min="15619" max="15622" width="0" style="86" hidden="1" customWidth="1"/>
    <col min="15623" max="15624" width="8.5546875" style="86" customWidth="1"/>
    <col min="15625" max="15625" width="8" style="86" customWidth="1"/>
    <col min="15626" max="15626" width="10.109375" style="86" customWidth="1"/>
    <col min="15627" max="15627" width="11" style="86" customWidth="1"/>
    <col min="15628" max="15636" width="0" style="86" hidden="1" customWidth="1"/>
    <col min="15637" max="15872" width="9.109375" style="86"/>
    <col min="15873" max="15873" width="4.109375" style="86" customWidth="1"/>
    <col min="15874" max="15874" width="39" style="86" customWidth="1"/>
    <col min="15875" max="15878" width="0" style="86" hidden="1" customWidth="1"/>
    <col min="15879" max="15880" width="8.5546875" style="86" customWidth="1"/>
    <col min="15881" max="15881" width="8" style="86" customWidth="1"/>
    <col min="15882" max="15882" width="10.109375" style="86" customWidth="1"/>
    <col min="15883" max="15883" width="11" style="86" customWidth="1"/>
    <col min="15884" max="15892" width="0" style="86" hidden="1" customWidth="1"/>
    <col min="15893" max="16128" width="9.109375" style="86"/>
    <col min="16129" max="16129" width="4.109375" style="86" customWidth="1"/>
    <col min="16130" max="16130" width="39" style="86" customWidth="1"/>
    <col min="16131" max="16134" width="0" style="86" hidden="1" customWidth="1"/>
    <col min="16135" max="16136" width="8.5546875" style="86" customWidth="1"/>
    <col min="16137" max="16137" width="8" style="86" customWidth="1"/>
    <col min="16138" max="16138" width="10.109375" style="86" customWidth="1"/>
    <col min="16139" max="16139" width="11" style="86" customWidth="1"/>
    <col min="16140" max="16148" width="0" style="86" hidden="1" customWidth="1"/>
    <col min="16149" max="16384" width="9.109375" style="86"/>
  </cols>
  <sheetData>
    <row r="1" spans="1:11" ht="18" hidden="1" x14ac:dyDescent="0.35">
      <c r="D1" s="272"/>
      <c r="E1" s="272"/>
      <c r="F1" s="272"/>
      <c r="G1" s="272"/>
      <c r="H1" s="272"/>
      <c r="I1" s="272"/>
      <c r="J1" s="360"/>
      <c r="K1" s="360"/>
    </row>
    <row r="2" spans="1:11" ht="18" hidden="1" x14ac:dyDescent="0.35">
      <c r="A2" s="115"/>
      <c r="B2" s="255"/>
      <c r="C2" s="116"/>
      <c r="D2" s="122"/>
      <c r="E2" s="122"/>
      <c r="F2" s="122"/>
      <c r="G2" s="122"/>
      <c r="H2" s="122"/>
      <c r="I2" s="122"/>
      <c r="K2" s="118" t="s">
        <v>343</v>
      </c>
    </row>
    <row r="3" spans="1:11" ht="18" hidden="1" x14ac:dyDescent="0.35">
      <c r="A3" s="115"/>
      <c r="B3" s="255"/>
      <c r="C3" s="116"/>
      <c r="D3" s="122"/>
      <c r="E3" s="122"/>
      <c r="F3" s="122"/>
      <c r="G3" s="122"/>
      <c r="H3" s="122"/>
      <c r="I3" s="122"/>
      <c r="K3" s="118" t="s">
        <v>344</v>
      </c>
    </row>
    <row r="4" spans="1:11" ht="18" hidden="1" x14ac:dyDescent="0.35">
      <c r="A4" s="115"/>
      <c r="B4" s="255"/>
      <c r="C4" s="116"/>
      <c r="D4" s="122"/>
      <c r="E4" s="122"/>
      <c r="F4" s="122"/>
      <c r="G4" s="122"/>
      <c r="H4" s="122"/>
      <c r="I4" s="122"/>
      <c r="K4" s="118" t="s">
        <v>345</v>
      </c>
    </row>
    <row r="5" spans="1:11" ht="29.25" hidden="1" customHeight="1" x14ac:dyDescent="0.35">
      <c r="A5" s="115"/>
      <c r="B5" s="255"/>
      <c r="C5" s="145"/>
      <c r="D5" s="122"/>
      <c r="E5" s="122"/>
      <c r="F5" s="122"/>
      <c r="G5" s="122"/>
      <c r="H5" s="122"/>
      <c r="I5" s="122"/>
      <c r="K5" s="118" t="s">
        <v>346</v>
      </c>
    </row>
    <row r="6" spans="1:11" ht="16.5" hidden="1" customHeight="1" x14ac:dyDescent="0.35">
      <c r="A6" s="115"/>
      <c r="B6" s="255"/>
      <c r="C6" s="128"/>
      <c r="D6" s="122"/>
      <c r="E6" s="122"/>
      <c r="G6" s="113"/>
      <c r="H6" s="113"/>
      <c r="J6" s="118" t="s">
        <v>412</v>
      </c>
    </row>
    <row r="7" spans="1:11" ht="3.75" customHeight="1" x14ac:dyDescent="0.25">
      <c r="A7" s="146"/>
      <c r="B7" s="87"/>
      <c r="C7" s="85"/>
      <c r="D7" s="88"/>
      <c r="E7" s="88"/>
      <c r="F7" s="88"/>
      <c r="G7" s="88"/>
      <c r="H7" s="88"/>
      <c r="I7" s="88"/>
      <c r="J7" s="88"/>
    </row>
    <row r="8" spans="1:11" ht="17.25" customHeight="1" x14ac:dyDescent="0.35">
      <c r="A8" s="407" t="s">
        <v>0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</row>
    <row r="9" spans="1:11" ht="57.75" customHeight="1" x14ac:dyDescent="0.25">
      <c r="A9" s="408" t="s">
        <v>413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</row>
    <row r="10" spans="1:11" hidden="1" x14ac:dyDescent="0.25">
      <c r="A10" s="363"/>
      <c r="B10" s="363"/>
      <c r="C10" s="363"/>
      <c r="D10" s="87"/>
      <c r="E10" s="87"/>
      <c r="F10" s="87"/>
      <c r="G10" s="87"/>
      <c r="H10" s="87"/>
      <c r="I10" s="87"/>
      <c r="J10" s="87"/>
    </row>
    <row r="11" spans="1:11" ht="9.6" customHeight="1" x14ac:dyDescent="0.25">
      <c r="A11" s="363"/>
      <c r="B11" s="363"/>
      <c r="C11" s="363"/>
      <c r="D11" s="88"/>
      <c r="E11" s="88"/>
      <c r="F11" s="88"/>
      <c r="G11" s="88"/>
      <c r="H11" s="88"/>
      <c r="I11" s="88"/>
      <c r="J11" s="88"/>
    </row>
    <row r="12" spans="1:11" ht="15.6" x14ac:dyDescent="0.3">
      <c r="A12" s="123"/>
      <c r="B12" s="124"/>
      <c r="C12" s="116"/>
      <c r="D12" s="117"/>
      <c r="E12" s="117"/>
      <c r="F12" s="117"/>
      <c r="G12" s="117"/>
      <c r="H12" s="117"/>
      <c r="I12" s="117"/>
      <c r="J12" s="125"/>
      <c r="K12" s="125" t="s">
        <v>414</v>
      </c>
    </row>
    <row r="13" spans="1:11" s="90" customFormat="1" ht="33" customHeight="1" x14ac:dyDescent="0.2">
      <c r="A13" s="409" t="s">
        <v>1</v>
      </c>
      <c r="B13" s="409" t="s">
        <v>2</v>
      </c>
      <c r="C13" s="364" t="s">
        <v>3</v>
      </c>
      <c r="D13" s="359" t="s">
        <v>172</v>
      </c>
      <c r="E13" s="359" t="s">
        <v>173</v>
      </c>
      <c r="F13" s="368" t="s">
        <v>4</v>
      </c>
      <c r="G13" s="406" t="s">
        <v>415</v>
      </c>
      <c r="H13" s="406" t="s">
        <v>416</v>
      </c>
      <c r="I13" s="406" t="s">
        <v>417</v>
      </c>
      <c r="J13" s="406" t="s">
        <v>177</v>
      </c>
      <c r="K13" s="406" t="s">
        <v>356</v>
      </c>
    </row>
    <row r="14" spans="1:11" s="90" customFormat="1" ht="52.5" customHeight="1" x14ac:dyDescent="0.2">
      <c r="A14" s="409"/>
      <c r="B14" s="409"/>
      <c r="C14" s="364"/>
      <c r="D14" s="366"/>
      <c r="E14" s="359"/>
      <c r="F14" s="368"/>
      <c r="G14" s="410"/>
      <c r="H14" s="406"/>
      <c r="I14" s="406"/>
      <c r="J14" s="406"/>
      <c r="K14" s="406"/>
    </row>
    <row r="15" spans="1:11" s="90" customFormat="1" ht="11.25" hidden="1" customHeight="1" x14ac:dyDescent="0.2">
      <c r="A15" s="280"/>
      <c r="B15" s="253"/>
      <c r="C15" s="253"/>
      <c r="D15" s="367" t="s">
        <v>174</v>
      </c>
      <c r="E15" s="367"/>
      <c r="F15" s="367"/>
      <c r="G15" s="367" t="s">
        <v>175</v>
      </c>
      <c r="H15" s="367"/>
      <c r="I15" s="367"/>
      <c r="J15" s="367"/>
    </row>
    <row r="16" spans="1:11" s="91" customFormat="1" ht="15.6" x14ac:dyDescent="0.3">
      <c r="A16" s="280">
        <v>1</v>
      </c>
      <c r="B16" s="129">
        <v>2</v>
      </c>
      <c r="C16" s="129">
        <v>3</v>
      </c>
      <c r="D16" s="129">
        <v>4</v>
      </c>
      <c r="E16" s="129">
        <v>5</v>
      </c>
      <c r="F16" s="129">
        <v>6</v>
      </c>
      <c r="G16" s="129">
        <v>4</v>
      </c>
      <c r="H16" s="129"/>
      <c r="I16" s="129">
        <v>5</v>
      </c>
      <c r="J16" s="129">
        <v>6</v>
      </c>
      <c r="K16" s="129">
        <v>7</v>
      </c>
    </row>
    <row r="17" spans="1:16" s="91" customFormat="1" ht="34.5" customHeight="1" x14ac:dyDescent="0.2">
      <c r="A17" s="280">
        <v>1</v>
      </c>
      <c r="B17" s="131" t="s">
        <v>418</v>
      </c>
      <c r="C17" s="147" t="s">
        <v>6</v>
      </c>
      <c r="D17" s="95">
        <v>25846.489999999998</v>
      </c>
      <c r="E17" s="95">
        <v>112.77</v>
      </c>
      <c r="F17" s="95">
        <v>25959.26</v>
      </c>
      <c r="G17" s="157">
        <v>0.6</v>
      </c>
      <c r="H17" s="157">
        <v>7.0000000000000007E-2</v>
      </c>
      <c r="I17" s="157">
        <v>0.09</v>
      </c>
      <c r="J17" s="157">
        <f t="shared" ref="J17:J38" si="0">G17+I17</f>
        <v>0.69</v>
      </c>
      <c r="K17" s="95">
        <v>6905</v>
      </c>
      <c r="L17" s="91">
        <f>J17/K17*100</f>
        <v>9.9927588703837781E-3</v>
      </c>
    </row>
    <row r="18" spans="1:16" s="91" customFormat="1" ht="19.2" x14ac:dyDescent="0.2">
      <c r="A18" s="280">
        <v>2</v>
      </c>
      <c r="B18" s="131" t="s">
        <v>419</v>
      </c>
      <c r="C18" s="148" t="s">
        <v>8</v>
      </c>
      <c r="D18" s="95">
        <v>38769.735000000001</v>
      </c>
      <c r="E18" s="95">
        <v>511.35199999999992</v>
      </c>
      <c r="F18" s="95">
        <v>39281.087</v>
      </c>
      <c r="G18" s="157">
        <v>0.04</v>
      </c>
      <c r="H18" s="157">
        <v>0.12</v>
      </c>
      <c r="I18" s="157">
        <v>0.12</v>
      </c>
      <c r="J18" s="157">
        <f t="shared" si="0"/>
        <v>0.16</v>
      </c>
      <c r="K18" s="95">
        <v>1625</v>
      </c>
      <c r="L18" s="91">
        <f t="shared" ref="L18:L38" si="1">J18/K18*100</f>
        <v>9.8461538461538465E-3</v>
      </c>
      <c r="P18" s="91">
        <f>J17/10000</f>
        <v>6.8999999999999997E-5</v>
      </c>
    </row>
    <row r="19" spans="1:16" s="91" customFormat="1" ht="15.6" x14ac:dyDescent="0.2">
      <c r="A19" s="280">
        <v>3</v>
      </c>
      <c r="B19" s="137" t="s">
        <v>420</v>
      </c>
      <c r="C19" s="94" t="s">
        <v>10</v>
      </c>
      <c r="D19" s="95">
        <f>'[1]кальк. физ.'!T13</f>
        <v>16155.516284973099</v>
      </c>
      <c r="E19" s="95">
        <f>[1]материалы!K33</f>
        <v>294.95047058823531</v>
      </c>
      <c r="F19" s="95">
        <f>D19+E19</f>
        <v>16450.466755561334</v>
      </c>
      <c r="G19" s="157">
        <v>0.5</v>
      </c>
      <c r="H19" s="157">
        <v>0</v>
      </c>
      <c r="I19" s="157">
        <v>0</v>
      </c>
      <c r="J19" s="157">
        <f t="shared" si="0"/>
        <v>0.5</v>
      </c>
      <c r="K19" s="95">
        <f>J19*10000</f>
        <v>5000</v>
      </c>
      <c r="L19" s="91">
        <f t="shared" si="1"/>
        <v>0.01</v>
      </c>
    </row>
    <row r="20" spans="1:16" s="91" customFormat="1" ht="15.6" x14ac:dyDescent="0.2">
      <c r="A20" s="280">
        <v>4</v>
      </c>
      <c r="B20" s="137" t="s">
        <v>421</v>
      </c>
      <c r="C20" s="94" t="s">
        <v>10</v>
      </c>
      <c r="D20" s="95">
        <f>'[1]кальк. физ.'!T15</f>
        <v>21540.688379964133</v>
      </c>
      <c r="E20" s="95">
        <f>[1]материалы!K39</f>
        <v>294.95047058823531</v>
      </c>
      <c r="F20" s="95">
        <f>D20+E20</f>
        <v>21835.638850552368</v>
      </c>
      <c r="G20" s="157">
        <v>0.8</v>
      </c>
      <c r="H20" s="157">
        <v>4.5999999999999996</v>
      </c>
      <c r="I20" s="157">
        <v>4.97</v>
      </c>
      <c r="J20" s="157">
        <f t="shared" si="0"/>
        <v>5.77</v>
      </c>
      <c r="K20" s="95">
        <v>57704</v>
      </c>
      <c r="L20" s="91">
        <f t="shared" si="1"/>
        <v>9.9993068071537496E-3</v>
      </c>
    </row>
    <row r="21" spans="1:16" s="91" customFormat="1" ht="31.5" customHeight="1" x14ac:dyDescent="0.2">
      <c r="A21" s="280">
        <v>5</v>
      </c>
      <c r="B21" s="137" t="s">
        <v>422</v>
      </c>
      <c r="C21" s="94" t="s">
        <v>10</v>
      </c>
      <c r="D21" s="95">
        <f>'[1]кальк. физ.'!T18</f>
        <v>21540.688379964133</v>
      </c>
      <c r="E21" s="95">
        <f>[1]материалы!K45</f>
        <v>328.4733333333333</v>
      </c>
      <c r="F21" s="95">
        <f>D21+E21</f>
        <v>21869.161713297464</v>
      </c>
      <c r="G21" s="157">
        <v>1.27</v>
      </c>
      <c r="H21" s="157">
        <v>2.6</v>
      </c>
      <c r="I21" s="157">
        <v>2.79</v>
      </c>
      <c r="J21" s="157">
        <f t="shared" si="0"/>
        <v>4.0600000000000005</v>
      </c>
      <c r="K21" s="95">
        <v>40623</v>
      </c>
      <c r="L21" s="91">
        <f t="shared" si="1"/>
        <v>9.994338182802846E-3</v>
      </c>
    </row>
    <row r="22" spans="1:16" s="91" customFormat="1" ht="17.25" customHeight="1" x14ac:dyDescent="0.2">
      <c r="A22" s="280">
        <v>6</v>
      </c>
      <c r="B22" s="137" t="s">
        <v>423</v>
      </c>
      <c r="C22" s="94"/>
      <c r="D22" s="95"/>
      <c r="E22" s="95"/>
      <c r="F22" s="95"/>
      <c r="G22" s="157">
        <v>0.13</v>
      </c>
      <c r="H22" s="157">
        <v>1.62</v>
      </c>
      <c r="I22" s="157">
        <v>1.63</v>
      </c>
      <c r="J22" s="157">
        <f t="shared" si="0"/>
        <v>1.7599999999999998</v>
      </c>
      <c r="K22" s="95">
        <v>17607</v>
      </c>
      <c r="L22" s="91">
        <f t="shared" si="1"/>
        <v>9.9960243085136583E-3</v>
      </c>
    </row>
    <row r="23" spans="1:16" s="91" customFormat="1" ht="18.75" customHeight="1" x14ac:dyDescent="0.2">
      <c r="A23" s="280">
        <v>7</v>
      </c>
      <c r="B23" s="137" t="s">
        <v>424</v>
      </c>
      <c r="C23" s="94"/>
      <c r="D23" s="95"/>
      <c r="E23" s="95"/>
      <c r="F23" s="95"/>
      <c r="G23" s="157">
        <v>0.13</v>
      </c>
      <c r="H23" s="157">
        <v>0.16</v>
      </c>
      <c r="I23" s="157">
        <v>0.16</v>
      </c>
      <c r="J23" s="157">
        <f t="shared" si="0"/>
        <v>0.29000000000000004</v>
      </c>
      <c r="K23" s="95">
        <v>2909</v>
      </c>
      <c r="L23" s="91">
        <f t="shared" si="1"/>
        <v>9.9690615331729116E-3</v>
      </c>
    </row>
    <row r="24" spans="1:16" s="91" customFormat="1" ht="18" customHeight="1" x14ac:dyDescent="0.2">
      <c r="A24" s="280">
        <v>8</v>
      </c>
      <c r="B24" s="137" t="s">
        <v>425</v>
      </c>
      <c r="C24" s="94"/>
      <c r="D24" s="95"/>
      <c r="E24" s="95"/>
      <c r="F24" s="95"/>
      <c r="G24" s="157">
        <v>0.13</v>
      </c>
      <c r="H24" s="157">
        <v>0.41</v>
      </c>
      <c r="I24" s="157">
        <v>0.42</v>
      </c>
      <c r="J24" s="157">
        <f t="shared" si="0"/>
        <v>0.55000000000000004</v>
      </c>
      <c r="K24" s="95">
        <v>5510</v>
      </c>
      <c r="L24" s="91">
        <f t="shared" si="1"/>
        <v>9.9818511796733213E-3</v>
      </c>
    </row>
    <row r="25" spans="1:16" s="91" customFormat="1" ht="24.75" customHeight="1" x14ac:dyDescent="0.2">
      <c r="A25" s="280">
        <v>9</v>
      </c>
      <c r="B25" s="137" t="s">
        <v>426</v>
      </c>
      <c r="C25" s="94"/>
      <c r="D25" s="95"/>
      <c r="E25" s="95"/>
      <c r="F25" s="95"/>
      <c r="G25" s="157">
        <v>0.13</v>
      </c>
      <c r="H25" s="157">
        <v>0.15</v>
      </c>
      <c r="I25" s="157">
        <v>0.16</v>
      </c>
      <c r="J25" s="157">
        <f t="shared" si="0"/>
        <v>0.29000000000000004</v>
      </c>
      <c r="K25" s="95">
        <v>2908</v>
      </c>
    </row>
    <row r="26" spans="1:16" s="91" customFormat="1" ht="17.25" customHeight="1" x14ac:dyDescent="0.2">
      <c r="A26" s="280">
        <v>10</v>
      </c>
      <c r="B26" s="137" t="s">
        <v>427</v>
      </c>
      <c r="C26" s="94"/>
      <c r="D26" s="95"/>
      <c r="E26" s="95"/>
      <c r="F26" s="95"/>
      <c r="G26" s="157">
        <v>0.13</v>
      </c>
      <c r="H26" s="157">
        <v>0.09</v>
      </c>
      <c r="I26" s="157">
        <v>0.09</v>
      </c>
      <c r="J26" s="157">
        <f t="shared" si="0"/>
        <v>0.22</v>
      </c>
      <c r="K26" s="95">
        <v>2242</v>
      </c>
    </row>
    <row r="27" spans="1:16" s="91" customFormat="1" ht="14.25" customHeight="1" x14ac:dyDescent="0.2">
      <c r="A27" s="280">
        <v>11</v>
      </c>
      <c r="B27" s="137" t="s">
        <v>428</v>
      </c>
      <c r="C27" s="94"/>
      <c r="D27" s="95"/>
      <c r="E27" s="95"/>
      <c r="F27" s="95"/>
      <c r="G27" s="157">
        <v>0.13</v>
      </c>
      <c r="H27" s="157">
        <v>0.16</v>
      </c>
      <c r="I27" s="157">
        <v>0.16</v>
      </c>
      <c r="J27" s="157">
        <f t="shared" si="0"/>
        <v>0.29000000000000004</v>
      </c>
      <c r="K27" s="95">
        <v>2973</v>
      </c>
    </row>
    <row r="28" spans="1:16" s="91" customFormat="1" ht="14.25" customHeight="1" x14ac:dyDescent="0.2">
      <c r="A28" s="280">
        <v>12</v>
      </c>
      <c r="B28" s="137" t="s">
        <v>429</v>
      </c>
      <c r="C28" s="94"/>
      <c r="D28" s="95"/>
      <c r="E28" s="95"/>
      <c r="F28" s="95"/>
      <c r="G28" s="157">
        <v>0.13</v>
      </c>
      <c r="H28" s="157">
        <v>0.18</v>
      </c>
      <c r="I28" s="157">
        <v>0.18</v>
      </c>
      <c r="J28" s="157">
        <f t="shared" si="0"/>
        <v>0.31</v>
      </c>
      <c r="K28" s="95">
        <v>3156</v>
      </c>
    </row>
    <row r="29" spans="1:16" s="91" customFormat="1" ht="14.25" customHeight="1" x14ac:dyDescent="0.2">
      <c r="A29" s="280">
        <v>13</v>
      </c>
      <c r="B29" s="137" t="s">
        <v>430</v>
      </c>
      <c r="C29" s="94"/>
      <c r="D29" s="95"/>
      <c r="E29" s="95"/>
      <c r="F29" s="95"/>
      <c r="G29" s="157">
        <v>0.13</v>
      </c>
      <c r="H29" s="157">
        <v>0.14000000000000001</v>
      </c>
      <c r="I29" s="157">
        <v>0.15</v>
      </c>
      <c r="J29" s="157">
        <f t="shared" si="0"/>
        <v>0.28000000000000003</v>
      </c>
      <c r="K29" s="95">
        <v>2791</v>
      </c>
    </row>
    <row r="30" spans="1:16" s="91" customFormat="1" ht="20.25" customHeight="1" x14ac:dyDescent="0.2">
      <c r="A30" s="280">
        <v>14</v>
      </c>
      <c r="B30" s="137" t="s">
        <v>431</v>
      </c>
      <c r="C30" s="94"/>
      <c r="D30" s="95"/>
      <c r="E30" s="95"/>
      <c r="F30" s="95"/>
      <c r="G30" s="157">
        <v>0.13</v>
      </c>
      <c r="H30" s="157">
        <v>0.11</v>
      </c>
      <c r="I30" s="157">
        <v>0.12</v>
      </c>
      <c r="J30" s="157">
        <f t="shared" si="0"/>
        <v>0.25</v>
      </c>
      <c r="K30" s="95">
        <v>2492</v>
      </c>
    </row>
    <row r="31" spans="1:16" s="91" customFormat="1" ht="17.25" customHeight="1" x14ac:dyDescent="0.2">
      <c r="A31" s="280">
        <v>15</v>
      </c>
      <c r="B31" s="137" t="s">
        <v>432</v>
      </c>
      <c r="C31" s="94"/>
      <c r="D31" s="95"/>
      <c r="E31" s="95"/>
      <c r="F31" s="95"/>
      <c r="G31" s="157">
        <v>0.13</v>
      </c>
      <c r="H31" s="157">
        <v>1.54</v>
      </c>
      <c r="I31" s="157">
        <v>1.54</v>
      </c>
      <c r="J31" s="157">
        <f t="shared" si="0"/>
        <v>1.67</v>
      </c>
      <c r="K31" s="95">
        <v>16761</v>
      </c>
    </row>
    <row r="32" spans="1:16" s="91" customFormat="1" ht="30.75" customHeight="1" x14ac:dyDescent="0.2">
      <c r="A32" s="280">
        <v>16</v>
      </c>
      <c r="B32" s="137" t="s">
        <v>433</v>
      </c>
      <c r="C32" s="94"/>
      <c r="D32" s="95"/>
      <c r="E32" s="95"/>
      <c r="F32" s="95"/>
      <c r="G32" s="157">
        <v>0.13</v>
      </c>
      <c r="H32" s="157">
        <v>1.17</v>
      </c>
      <c r="I32" s="157">
        <v>1.17</v>
      </c>
      <c r="J32" s="157">
        <f t="shared" si="0"/>
        <v>1.2999999999999998</v>
      </c>
      <c r="K32" s="95">
        <v>13074</v>
      </c>
    </row>
    <row r="33" spans="1:12" s="91" customFormat="1" ht="36.75" customHeight="1" x14ac:dyDescent="0.2">
      <c r="A33" s="280">
        <v>17</v>
      </c>
      <c r="B33" s="137" t="s">
        <v>434</v>
      </c>
      <c r="C33" s="94"/>
      <c r="D33" s="95"/>
      <c r="E33" s="95"/>
      <c r="F33" s="95"/>
      <c r="G33" s="157">
        <v>0.47</v>
      </c>
      <c r="H33" s="157">
        <v>1.92</v>
      </c>
      <c r="I33" s="157">
        <v>2.2999999999999998</v>
      </c>
      <c r="J33" s="157">
        <f t="shared" si="0"/>
        <v>2.7699999999999996</v>
      </c>
      <c r="K33" s="95">
        <v>27787</v>
      </c>
    </row>
    <row r="34" spans="1:12" s="91" customFormat="1" ht="31.2" x14ac:dyDescent="0.2">
      <c r="A34" s="280">
        <v>18</v>
      </c>
      <c r="B34" s="137" t="s">
        <v>435</v>
      </c>
      <c r="C34" s="94"/>
      <c r="D34" s="95"/>
      <c r="E34" s="95"/>
      <c r="F34" s="95"/>
      <c r="G34" s="157">
        <v>1.1000000000000001</v>
      </c>
      <c r="H34" s="157">
        <v>7.45</v>
      </c>
      <c r="I34" s="157">
        <v>7.58</v>
      </c>
      <c r="J34" s="157">
        <f t="shared" si="0"/>
        <v>8.68</v>
      </c>
      <c r="K34" s="95">
        <v>86843</v>
      </c>
    </row>
    <row r="35" spans="1:12" s="91" customFormat="1" ht="15.6" x14ac:dyDescent="0.2">
      <c r="A35" s="280">
        <v>19</v>
      </c>
      <c r="B35" s="137" t="s">
        <v>436</v>
      </c>
      <c r="C35" s="94"/>
      <c r="D35" s="95"/>
      <c r="E35" s="95"/>
      <c r="F35" s="95"/>
      <c r="G35" s="157">
        <v>1.1000000000000001</v>
      </c>
      <c r="H35" s="157">
        <v>3.92</v>
      </c>
      <c r="I35" s="157">
        <v>4.05</v>
      </c>
      <c r="J35" s="157">
        <f t="shared" si="0"/>
        <v>5.15</v>
      </c>
      <c r="K35" s="95">
        <v>51506</v>
      </c>
      <c r="L35" s="91">
        <f t="shared" si="1"/>
        <v>9.9988350871743105E-3</v>
      </c>
    </row>
    <row r="36" spans="1:12" s="91" customFormat="1" ht="15.6" x14ac:dyDescent="0.2">
      <c r="A36" s="280">
        <v>20</v>
      </c>
      <c r="B36" s="137" t="s">
        <v>437</v>
      </c>
      <c r="C36" s="94"/>
      <c r="D36" s="95"/>
      <c r="E36" s="95"/>
      <c r="F36" s="95"/>
      <c r="G36" s="157">
        <v>1.1000000000000001</v>
      </c>
      <c r="H36" s="157">
        <v>4</v>
      </c>
      <c r="I36" s="157">
        <v>4.1399999999999997</v>
      </c>
      <c r="J36" s="157">
        <f t="shared" si="0"/>
        <v>5.24</v>
      </c>
      <c r="K36" s="95">
        <v>52392</v>
      </c>
      <c r="L36" s="91">
        <f t="shared" si="1"/>
        <v>1.0001526950679494E-2</v>
      </c>
    </row>
    <row r="37" spans="1:12" s="91" customFormat="1" ht="15.6" x14ac:dyDescent="0.2">
      <c r="A37" s="280">
        <v>21</v>
      </c>
      <c r="B37" s="137" t="s">
        <v>438</v>
      </c>
      <c r="C37" s="94"/>
      <c r="D37" s="95"/>
      <c r="E37" s="95"/>
      <c r="F37" s="95"/>
      <c r="G37" s="157">
        <v>1.1000000000000001</v>
      </c>
      <c r="H37" s="157">
        <v>6.97</v>
      </c>
      <c r="I37" s="157">
        <v>7.1</v>
      </c>
      <c r="J37" s="157">
        <f t="shared" si="0"/>
        <v>8.1999999999999993</v>
      </c>
      <c r="K37" s="95">
        <v>81994</v>
      </c>
      <c r="L37" s="91">
        <f t="shared" si="1"/>
        <v>1.000073176086055E-2</v>
      </c>
    </row>
    <row r="38" spans="1:12" s="91" customFormat="1" ht="15.6" x14ac:dyDescent="0.2">
      <c r="A38" s="280">
        <v>22</v>
      </c>
      <c r="B38" s="137" t="s">
        <v>439</v>
      </c>
      <c r="C38" s="94"/>
      <c r="D38" s="95"/>
      <c r="E38" s="95"/>
      <c r="F38" s="95"/>
      <c r="G38" s="157">
        <v>1.1000000000000001</v>
      </c>
      <c r="H38" s="157">
        <v>4.2300000000000004</v>
      </c>
      <c r="I38" s="157">
        <v>4.3600000000000003</v>
      </c>
      <c r="J38" s="157">
        <f t="shared" si="0"/>
        <v>5.4600000000000009</v>
      </c>
      <c r="K38" s="95">
        <v>54656</v>
      </c>
      <c r="L38" s="91">
        <f t="shared" si="1"/>
        <v>9.9897540983606564E-3</v>
      </c>
    </row>
    <row r="39" spans="1:12" ht="12" customHeight="1" x14ac:dyDescent="0.25"/>
    <row r="40" spans="1:12" ht="3.75" customHeight="1" x14ac:dyDescent="0.25"/>
    <row r="41" spans="1:12" ht="15.6" hidden="1" x14ac:dyDescent="0.3">
      <c r="B41" s="5" t="s">
        <v>409</v>
      </c>
      <c r="C41" s="281"/>
      <c r="D41" s="282"/>
      <c r="E41" s="5"/>
      <c r="F41" s="5" t="s">
        <v>410</v>
      </c>
      <c r="G41" s="5"/>
      <c r="H41" s="5"/>
      <c r="J41" s="5" t="s">
        <v>410</v>
      </c>
      <c r="K41" s="107"/>
    </row>
  </sheetData>
  <mergeCells count="18">
    <mergeCell ref="D15:F15"/>
    <mergeCell ref="G15:J15"/>
    <mergeCell ref="F13:F14"/>
    <mergeCell ref="G13:G14"/>
    <mergeCell ref="H13:H14"/>
    <mergeCell ref="I13:I14"/>
    <mergeCell ref="J13:J14"/>
    <mergeCell ref="K13:K14"/>
    <mergeCell ref="J1:K1"/>
    <mergeCell ref="A8:K8"/>
    <mergeCell ref="A9:K9"/>
    <mergeCell ref="A10:C10"/>
    <mergeCell ref="A11:C11"/>
    <mergeCell ref="A13:A14"/>
    <mergeCell ref="B13:B14"/>
    <mergeCell ref="C13:C14"/>
    <mergeCell ref="D13:D14"/>
    <mergeCell ref="E13:E14"/>
  </mergeCells>
  <pageMargins left="0.6692913385826772" right="0.27559055118110237" top="0.23622047244094491" bottom="0.23622047244094491" header="0.23622047244094491" footer="0.23622047244094491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9"/>
  <sheetViews>
    <sheetView view="pageBreakPreview" topLeftCell="A8" zoomScale="80" zoomScaleNormal="115" zoomScaleSheetLayoutView="80" workbookViewId="0">
      <selection activeCell="A277" sqref="A277:XFD277"/>
    </sheetView>
  </sheetViews>
  <sheetFormatPr defaultColWidth="9.109375" defaultRowHeight="17.399999999999999" x14ac:dyDescent="0.3"/>
  <cols>
    <col min="1" max="1" width="8.44140625" style="228" customWidth="1"/>
    <col min="2" max="2" width="57.5546875" style="163" customWidth="1"/>
    <col min="3" max="3" width="17.33203125" style="163" customWidth="1"/>
    <col min="4" max="4" width="28.109375" style="163" hidden="1" customWidth="1"/>
    <col min="5" max="5" width="9.109375" style="163" hidden="1" customWidth="1"/>
    <col min="6" max="6" width="18.33203125" style="163" hidden="1" customWidth="1"/>
    <col min="7" max="7" width="12.44140625" style="163" hidden="1" customWidth="1"/>
    <col min="8" max="8" width="15.33203125" style="163" hidden="1" customWidth="1"/>
    <col min="9" max="9" width="14.44140625" style="163" customWidth="1"/>
    <col min="10" max="10" width="12.6640625" style="163" customWidth="1"/>
    <col min="11" max="11" width="15.6640625" style="163" customWidth="1"/>
    <col min="12" max="12" width="17.109375" style="163" hidden="1" customWidth="1"/>
    <col min="13" max="13" width="17.77734375" style="164" hidden="1" customWidth="1"/>
    <col min="14" max="16" width="0" style="164" hidden="1" customWidth="1"/>
    <col min="17" max="16384" width="9.109375" style="164"/>
  </cols>
  <sheetData>
    <row r="1" spans="1:14" s="284" customFormat="1" ht="24" hidden="1" customHeight="1" x14ac:dyDescent="0.35">
      <c r="B1" s="285"/>
      <c r="C1" s="285"/>
      <c r="D1" s="285"/>
      <c r="E1" s="285"/>
      <c r="F1" s="285"/>
      <c r="G1" s="285"/>
      <c r="H1" s="261"/>
      <c r="I1" s="261"/>
      <c r="J1" s="261"/>
      <c r="K1" s="162" t="s">
        <v>440</v>
      </c>
      <c r="L1" s="261"/>
    </row>
    <row r="2" spans="1:14" s="284" customFormat="1" ht="18" hidden="1" x14ac:dyDescent="0.35">
      <c r="A2" s="433"/>
      <c r="B2" s="433"/>
      <c r="C2" s="159"/>
      <c r="D2" s="159"/>
      <c r="E2" s="159"/>
      <c r="F2" s="159"/>
      <c r="G2" s="159"/>
      <c r="H2" s="163"/>
      <c r="I2" s="163"/>
      <c r="J2" s="163"/>
      <c r="K2" s="162" t="s">
        <v>343</v>
      </c>
      <c r="L2" s="260"/>
      <c r="N2" s="286"/>
    </row>
    <row r="3" spans="1:14" s="284" customFormat="1" ht="18" hidden="1" x14ac:dyDescent="0.35">
      <c r="A3" s="259"/>
      <c r="B3" s="259"/>
      <c r="C3" s="159"/>
      <c r="D3" s="159"/>
      <c r="E3" s="159"/>
      <c r="F3" s="159"/>
      <c r="G3" s="159"/>
      <c r="H3" s="163"/>
      <c r="I3" s="163"/>
      <c r="J3" s="163"/>
      <c r="K3" s="162" t="s">
        <v>441</v>
      </c>
      <c r="L3" s="260"/>
      <c r="N3" s="286"/>
    </row>
    <row r="4" spans="1:14" s="284" customFormat="1" ht="18" hidden="1" x14ac:dyDescent="0.35">
      <c r="A4" s="433"/>
      <c r="B4" s="433"/>
      <c r="C4" s="257"/>
      <c r="D4" s="159"/>
      <c r="E4" s="159"/>
      <c r="F4" s="159"/>
      <c r="G4" s="159"/>
      <c r="H4" s="163"/>
      <c r="I4" s="163"/>
      <c r="J4" s="163"/>
      <c r="K4" s="162" t="s">
        <v>442</v>
      </c>
      <c r="L4" s="162"/>
      <c r="N4" s="256"/>
    </row>
    <row r="5" spans="1:14" s="284" customFormat="1" ht="18" hidden="1" x14ac:dyDescent="0.35">
      <c r="A5" s="433"/>
      <c r="B5" s="433"/>
      <c r="C5" s="434" t="s">
        <v>345</v>
      </c>
      <c r="D5" s="434"/>
      <c r="E5" s="434"/>
      <c r="F5" s="434"/>
      <c r="G5" s="434"/>
      <c r="H5" s="434"/>
      <c r="I5" s="434"/>
      <c r="J5" s="434"/>
      <c r="K5" s="434"/>
      <c r="L5" s="260"/>
      <c r="N5" s="286"/>
    </row>
    <row r="6" spans="1:14" s="284" customFormat="1" ht="18" hidden="1" x14ac:dyDescent="0.35">
      <c r="A6" s="428"/>
      <c r="B6" s="428"/>
      <c r="C6" s="257"/>
      <c r="D6" s="159"/>
      <c r="E6" s="159"/>
      <c r="F6" s="159"/>
      <c r="G6" s="159"/>
      <c r="H6" s="163"/>
      <c r="I6" s="163"/>
      <c r="J6" s="163"/>
      <c r="K6" s="162" t="s">
        <v>443</v>
      </c>
      <c r="L6" s="162"/>
    </row>
    <row r="7" spans="1:14" s="284" customFormat="1" ht="18" hidden="1" x14ac:dyDescent="0.35">
      <c r="A7" s="257"/>
      <c r="B7" s="257"/>
      <c r="C7" s="257"/>
      <c r="D7" s="159"/>
      <c r="E7" s="159"/>
      <c r="F7" s="159"/>
      <c r="G7" s="159"/>
      <c r="H7" s="433" t="s">
        <v>444</v>
      </c>
      <c r="I7" s="433"/>
      <c r="J7" s="433"/>
      <c r="K7" s="433"/>
      <c r="L7" s="433"/>
      <c r="M7" s="163"/>
    </row>
    <row r="8" spans="1:14" s="284" customFormat="1" ht="23.4" customHeight="1" x14ac:dyDescent="0.3">
      <c r="A8" s="257"/>
      <c r="B8" s="257"/>
      <c r="C8" s="160"/>
      <c r="D8" s="257"/>
      <c r="E8" s="257"/>
      <c r="F8" s="257"/>
      <c r="G8" s="257"/>
      <c r="H8" s="257"/>
      <c r="I8" s="257"/>
      <c r="J8" s="161"/>
      <c r="K8" s="161"/>
      <c r="L8" s="161"/>
    </row>
    <row r="9" spans="1:14" x14ac:dyDescent="0.3">
      <c r="A9" s="428" t="s">
        <v>39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</row>
    <row r="10" spans="1:14" ht="17.399999999999999" customHeight="1" x14ac:dyDescent="0.25">
      <c r="A10" s="429" t="s">
        <v>358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</row>
    <row r="11" spans="1:14" ht="17.399999999999999" customHeight="1" x14ac:dyDescent="0.25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</row>
    <row r="12" spans="1:14" ht="17.25" customHeight="1" x14ac:dyDescent="0.3">
      <c r="A12" s="430" t="s">
        <v>41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</row>
    <row r="13" spans="1:14" ht="15" customHeight="1" x14ac:dyDescent="0.3">
      <c r="A13" s="430" t="s">
        <v>42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</row>
    <row r="14" spans="1:14" ht="15" customHeight="1" x14ac:dyDescent="0.3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</row>
    <row r="15" spans="1:14" ht="18" x14ac:dyDescent="0.35">
      <c r="A15" s="165"/>
      <c r="B15" s="166"/>
      <c r="C15" s="166"/>
      <c r="D15" s="166"/>
      <c r="E15" s="166"/>
      <c r="F15" s="166"/>
      <c r="G15" s="166"/>
      <c r="H15" s="166"/>
      <c r="J15" s="167"/>
      <c r="K15" s="168" t="s">
        <v>445</v>
      </c>
      <c r="L15" s="166"/>
    </row>
    <row r="16" spans="1:14" ht="43.2" customHeight="1" x14ac:dyDescent="0.25">
      <c r="A16" s="431" t="s">
        <v>1</v>
      </c>
      <c r="B16" s="414" t="s">
        <v>43</v>
      </c>
      <c r="C16" s="414" t="s">
        <v>3</v>
      </c>
      <c r="D16" s="414" t="s">
        <v>178</v>
      </c>
      <c r="E16" s="414" t="s">
        <v>3</v>
      </c>
      <c r="F16" s="414" t="s">
        <v>179</v>
      </c>
      <c r="G16" s="414" t="s">
        <v>180</v>
      </c>
      <c r="H16" s="414" t="s">
        <v>181</v>
      </c>
      <c r="I16" s="414" t="s">
        <v>182</v>
      </c>
      <c r="J16" s="414" t="s">
        <v>183</v>
      </c>
      <c r="K16" s="414" t="s">
        <v>44</v>
      </c>
      <c r="L16" s="414" t="s">
        <v>360</v>
      </c>
      <c r="M16" s="414" t="s">
        <v>361</v>
      </c>
    </row>
    <row r="17" spans="1:14" ht="105" customHeight="1" x14ac:dyDescent="0.25">
      <c r="A17" s="432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</row>
    <row r="18" spans="1:14" ht="16.5" customHeight="1" x14ac:dyDescent="0.35">
      <c r="A18" s="169">
        <v>1</v>
      </c>
      <c r="B18" s="170">
        <v>2</v>
      </c>
      <c r="C18" s="170">
        <v>3</v>
      </c>
      <c r="D18" s="170">
        <v>4</v>
      </c>
      <c r="E18" s="170">
        <v>5</v>
      </c>
      <c r="F18" s="170">
        <v>6</v>
      </c>
      <c r="G18" s="170">
        <v>7</v>
      </c>
      <c r="H18" s="170">
        <v>4</v>
      </c>
      <c r="I18" s="170">
        <v>4</v>
      </c>
      <c r="J18" s="170">
        <v>5</v>
      </c>
      <c r="K18" s="170">
        <v>6</v>
      </c>
      <c r="L18" s="170">
        <v>6</v>
      </c>
      <c r="M18" s="170">
        <v>7</v>
      </c>
    </row>
    <row r="19" spans="1:14" x14ac:dyDescent="0.3">
      <c r="A19" s="171">
        <v>1</v>
      </c>
      <c r="B19" s="416" t="s">
        <v>45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8"/>
    </row>
    <row r="20" spans="1:14" s="284" customFormat="1" ht="36" x14ac:dyDescent="0.35">
      <c r="A20" s="172" t="s">
        <v>46</v>
      </c>
      <c r="B20" s="173" t="s">
        <v>47</v>
      </c>
      <c r="C20" s="174" t="s">
        <v>48</v>
      </c>
      <c r="D20" s="175"/>
      <c r="E20" s="174"/>
      <c r="F20" s="174"/>
      <c r="G20" s="176"/>
      <c r="H20" s="176"/>
      <c r="I20" s="176"/>
      <c r="J20" s="177">
        <v>5.22</v>
      </c>
      <c r="K20" s="177">
        <f t="shared" ref="K20:K44" si="0">I20+J20</f>
        <v>5.22</v>
      </c>
      <c r="L20" s="176">
        <v>22620</v>
      </c>
      <c r="M20" s="176">
        <f>K20*10000</f>
        <v>52200</v>
      </c>
      <c r="N20" s="284">
        <f>K20/M20*100</f>
        <v>9.9999999999999985E-3</v>
      </c>
    </row>
    <row r="21" spans="1:14" s="284" customFormat="1" ht="72" x14ac:dyDescent="0.35">
      <c r="A21" s="172" t="s">
        <v>49</v>
      </c>
      <c r="B21" s="173" t="s">
        <v>50</v>
      </c>
      <c r="C21" s="174" t="s">
        <v>51</v>
      </c>
      <c r="D21" s="175"/>
      <c r="E21" s="174"/>
      <c r="F21" s="174"/>
      <c r="G21" s="176"/>
      <c r="H21" s="176">
        <f>H22+H23+H24+H25+H26+H27</f>
        <v>2806.3</v>
      </c>
      <c r="I21" s="177">
        <f>2800/10000</f>
        <v>0.28000000000000003</v>
      </c>
      <c r="J21" s="176"/>
      <c r="K21" s="177">
        <f t="shared" si="0"/>
        <v>0.28000000000000003</v>
      </c>
      <c r="L21" s="176">
        <f>J21+K21</f>
        <v>0.28000000000000003</v>
      </c>
      <c r="M21" s="176">
        <v>2800</v>
      </c>
      <c r="N21" s="284">
        <f>K21/M21*100</f>
        <v>0.01</v>
      </c>
    </row>
    <row r="22" spans="1:14" s="284" customFormat="1" ht="18" hidden="1" x14ac:dyDescent="0.35">
      <c r="A22" s="172"/>
      <c r="B22" s="173"/>
      <c r="C22" s="174"/>
      <c r="D22" s="178" t="s">
        <v>184</v>
      </c>
      <c r="E22" s="174" t="s">
        <v>185</v>
      </c>
      <c r="F22" s="174">
        <v>1E-3</v>
      </c>
      <c r="G22" s="179">
        <v>40300</v>
      </c>
      <c r="H22" s="176">
        <f t="shared" ref="H22:H27" si="1">F22*G22</f>
        <v>40.300000000000004</v>
      </c>
      <c r="I22" s="176"/>
      <c r="J22" s="176"/>
      <c r="K22" s="176">
        <f t="shared" si="0"/>
        <v>0</v>
      </c>
      <c r="L22" s="176"/>
    </row>
    <row r="23" spans="1:14" s="284" customFormat="1" ht="31.8" hidden="1" x14ac:dyDescent="0.35">
      <c r="A23" s="172"/>
      <c r="B23" s="170"/>
      <c r="C23" s="174"/>
      <c r="D23" s="178" t="s">
        <v>186</v>
      </c>
      <c r="E23" s="174" t="s">
        <v>185</v>
      </c>
      <c r="F23" s="174">
        <v>1</v>
      </c>
      <c r="G23" s="179">
        <v>888</v>
      </c>
      <c r="H23" s="176">
        <f t="shared" si="1"/>
        <v>888</v>
      </c>
      <c r="I23" s="176"/>
      <c r="J23" s="176"/>
      <c r="K23" s="176">
        <f t="shared" si="0"/>
        <v>0</v>
      </c>
      <c r="L23" s="176"/>
    </row>
    <row r="24" spans="1:14" s="284" customFormat="1" ht="31.8" hidden="1" x14ac:dyDescent="0.35">
      <c r="A24" s="180"/>
      <c r="B24" s="181"/>
      <c r="C24" s="182"/>
      <c r="D24" s="183" t="s">
        <v>187</v>
      </c>
      <c r="E24" s="182" t="s">
        <v>185</v>
      </c>
      <c r="F24" s="182">
        <v>1</v>
      </c>
      <c r="G24" s="179">
        <v>262</v>
      </c>
      <c r="H24" s="176">
        <f t="shared" si="1"/>
        <v>262</v>
      </c>
      <c r="I24" s="176"/>
      <c r="J24" s="176"/>
      <c r="K24" s="176">
        <f t="shared" si="0"/>
        <v>0</v>
      </c>
      <c r="L24" s="176"/>
    </row>
    <row r="25" spans="1:14" s="284" customFormat="1" ht="18" hidden="1" x14ac:dyDescent="0.35">
      <c r="A25" s="172"/>
      <c r="B25" s="170"/>
      <c r="C25" s="174"/>
      <c r="D25" s="178" t="s">
        <v>188</v>
      </c>
      <c r="E25" s="174" t="s">
        <v>185</v>
      </c>
      <c r="F25" s="174">
        <v>1</v>
      </c>
      <c r="G25" s="179">
        <v>648</v>
      </c>
      <c r="H25" s="176">
        <f t="shared" si="1"/>
        <v>648</v>
      </c>
      <c r="I25" s="176"/>
      <c r="J25" s="176"/>
      <c r="K25" s="176">
        <f t="shared" si="0"/>
        <v>0</v>
      </c>
      <c r="L25" s="176"/>
    </row>
    <row r="26" spans="1:14" s="284" customFormat="1" ht="31.8" hidden="1" x14ac:dyDescent="0.35">
      <c r="A26" s="172"/>
      <c r="B26" s="170"/>
      <c r="C26" s="174"/>
      <c r="D26" s="178" t="s">
        <v>189</v>
      </c>
      <c r="E26" s="174" t="s">
        <v>185</v>
      </c>
      <c r="F26" s="174">
        <v>1</v>
      </c>
      <c r="G26" s="179">
        <v>800</v>
      </c>
      <c r="H26" s="176">
        <f t="shared" si="1"/>
        <v>800</v>
      </c>
      <c r="I26" s="176"/>
      <c r="J26" s="176"/>
      <c r="K26" s="176">
        <f t="shared" si="0"/>
        <v>0</v>
      </c>
      <c r="L26" s="176"/>
    </row>
    <row r="27" spans="1:14" s="284" customFormat="1" ht="18" hidden="1" x14ac:dyDescent="0.35">
      <c r="A27" s="172"/>
      <c r="B27" s="170"/>
      <c r="C27" s="174"/>
      <c r="D27" s="178" t="s">
        <v>190</v>
      </c>
      <c r="E27" s="174" t="s">
        <v>185</v>
      </c>
      <c r="F27" s="174">
        <v>4</v>
      </c>
      <c r="G27" s="179">
        <v>42</v>
      </c>
      <c r="H27" s="176">
        <f t="shared" si="1"/>
        <v>168</v>
      </c>
      <c r="I27" s="176"/>
      <c r="J27" s="176"/>
      <c r="K27" s="176">
        <f t="shared" si="0"/>
        <v>0</v>
      </c>
      <c r="L27" s="176"/>
    </row>
    <row r="28" spans="1:14" s="284" customFormat="1" ht="28.5" hidden="1" customHeight="1" x14ac:dyDescent="0.35">
      <c r="A28" s="172"/>
      <c r="B28" s="170"/>
      <c r="C28" s="174"/>
      <c r="D28" s="178"/>
      <c r="E28" s="174"/>
      <c r="F28" s="174"/>
      <c r="G28" s="176"/>
      <c r="H28" s="176"/>
      <c r="I28" s="176"/>
      <c r="J28" s="176"/>
      <c r="K28" s="176">
        <f t="shared" si="0"/>
        <v>0</v>
      </c>
      <c r="L28" s="176"/>
    </row>
    <row r="29" spans="1:14" s="284" customFormat="1" ht="36" x14ac:dyDescent="0.35">
      <c r="A29" s="172" t="s">
        <v>52</v>
      </c>
      <c r="B29" s="173" t="s">
        <v>53</v>
      </c>
      <c r="C29" s="174" t="s">
        <v>54</v>
      </c>
      <c r="D29" s="178"/>
      <c r="E29" s="174"/>
      <c r="F29" s="174"/>
      <c r="G29" s="176"/>
      <c r="H29" s="176"/>
      <c r="I29" s="176"/>
      <c r="J29" s="177">
        <f>M29/10000</f>
        <v>2.61</v>
      </c>
      <c r="K29" s="177">
        <f t="shared" si="0"/>
        <v>2.61</v>
      </c>
      <c r="L29" s="176">
        <f>J29+K29</f>
        <v>5.22</v>
      </c>
      <c r="M29" s="176">
        <v>26100</v>
      </c>
      <c r="N29" s="284">
        <f>K29/M29*100</f>
        <v>9.9999999999999985E-3</v>
      </c>
    </row>
    <row r="30" spans="1:14" s="284" customFormat="1" ht="36" x14ac:dyDescent="0.35">
      <c r="A30" s="172" t="s">
        <v>55</v>
      </c>
      <c r="B30" s="173" t="s">
        <v>56</v>
      </c>
      <c r="C30" s="174" t="s">
        <v>51</v>
      </c>
      <c r="D30" s="178"/>
      <c r="E30" s="174"/>
      <c r="F30" s="174"/>
      <c r="G30" s="176"/>
      <c r="H30" s="176">
        <f>H31</f>
        <v>1517.43</v>
      </c>
      <c r="I30" s="177">
        <f>1500/10000</f>
        <v>0.15</v>
      </c>
      <c r="J30" s="177">
        <f>10600/10000</f>
        <v>1.06</v>
      </c>
      <c r="K30" s="177">
        <f t="shared" si="0"/>
        <v>1.21</v>
      </c>
      <c r="L30" s="176">
        <f>J30+K30</f>
        <v>2.27</v>
      </c>
      <c r="M30" s="176">
        <v>12100</v>
      </c>
      <c r="N30" s="284">
        <f>K30/M30*100</f>
        <v>9.9999999999999985E-3</v>
      </c>
    </row>
    <row r="31" spans="1:14" s="284" customFormat="1" ht="18" hidden="1" x14ac:dyDescent="0.35">
      <c r="A31" s="172"/>
      <c r="B31" s="170"/>
      <c r="C31" s="174"/>
      <c r="D31" s="178" t="s">
        <v>191</v>
      </c>
      <c r="E31" s="174" t="s">
        <v>192</v>
      </c>
      <c r="F31" s="174">
        <v>0.1</v>
      </c>
      <c r="G31" s="176">
        <f>151743/10</f>
        <v>15174.3</v>
      </c>
      <c r="H31" s="176">
        <f>G31*F31</f>
        <v>1517.43</v>
      </c>
      <c r="I31" s="176"/>
      <c r="J31" s="176"/>
      <c r="K31" s="176">
        <f t="shared" si="0"/>
        <v>0</v>
      </c>
      <c r="L31" s="176"/>
    </row>
    <row r="32" spans="1:14" s="284" customFormat="1" ht="36" x14ac:dyDescent="0.35">
      <c r="A32" s="172" t="s">
        <v>57</v>
      </c>
      <c r="B32" s="173" t="s">
        <v>58</v>
      </c>
      <c r="C32" s="174" t="s">
        <v>51</v>
      </c>
      <c r="D32" s="178"/>
      <c r="E32" s="174"/>
      <c r="F32" s="174"/>
      <c r="G32" s="176"/>
      <c r="H32" s="176">
        <f>H33</f>
        <v>1517.43</v>
      </c>
      <c r="I32" s="177">
        <f>1500/10000</f>
        <v>0.15</v>
      </c>
      <c r="J32" s="177">
        <f>8000/10000</f>
        <v>0.8</v>
      </c>
      <c r="K32" s="177">
        <f t="shared" si="0"/>
        <v>0.95000000000000007</v>
      </c>
      <c r="L32" s="176">
        <f>J32+K32</f>
        <v>1.75</v>
      </c>
      <c r="M32" s="176">
        <v>9500</v>
      </c>
      <c r="N32" s="284">
        <f>K32/M32*100</f>
        <v>0.01</v>
      </c>
    </row>
    <row r="33" spans="1:14" s="284" customFormat="1" ht="18" hidden="1" x14ac:dyDescent="0.35">
      <c r="A33" s="172"/>
      <c r="B33" s="170"/>
      <c r="C33" s="174"/>
      <c r="D33" s="178" t="s">
        <v>191</v>
      </c>
      <c r="E33" s="174" t="s">
        <v>192</v>
      </c>
      <c r="F33" s="174">
        <v>0.1</v>
      </c>
      <c r="G33" s="176">
        <f>151743/10</f>
        <v>15174.3</v>
      </c>
      <c r="H33" s="176">
        <f>G33*F33</f>
        <v>1517.43</v>
      </c>
      <c r="I33" s="176"/>
      <c r="J33" s="176"/>
      <c r="K33" s="176">
        <f t="shared" si="0"/>
        <v>0</v>
      </c>
      <c r="L33" s="176"/>
    </row>
    <row r="34" spans="1:14" s="284" customFormat="1" ht="23.4" hidden="1" customHeight="1" x14ac:dyDescent="0.35">
      <c r="A34" s="184" t="s">
        <v>59</v>
      </c>
      <c r="B34" s="185" t="s">
        <v>193</v>
      </c>
      <c r="C34" s="186" t="s">
        <v>51</v>
      </c>
      <c r="D34" s="187"/>
      <c r="E34" s="186"/>
      <c r="F34" s="186"/>
      <c r="G34" s="188"/>
      <c r="H34" s="188">
        <f>SUM(H35:H38)</f>
        <v>2487</v>
      </c>
      <c r="I34" s="188">
        <v>2500</v>
      </c>
      <c r="J34" s="188">
        <f>[2]Лист2!S26</f>
        <v>10800</v>
      </c>
      <c r="K34" s="188">
        <f t="shared" si="0"/>
        <v>13300</v>
      </c>
      <c r="L34" s="176">
        <v>7010</v>
      </c>
      <c r="M34" s="284">
        <v>11250</v>
      </c>
      <c r="N34" s="284">
        <f t="shared" ref="N34:N40" si="2">K34/M34*100</f>
        <v>118.22222222222223</v>
      </c>
    </row>
    <row r="35" spans="1:14" s="284" customFormat="1" ht="18" hidden="1" x14ac:dyDescent="0.35">
      <c r="A35" s="184"/>
      <c r="B35" s="189"/>
      <c r="C35" s="186"/>
      <c r="D35" s="187" t="s">
        <v>194</v>
      </c>
      <c r="E35" s="186" t="s">
        <v>185</v>
      </c>
      <c r="F35" s="186">
        <v>0.1</v>
      </c>
      <c r="G35" s="188">
        <v>10270</v>
      </c>
      <c r="H35" s="188">
        <f>G35*F35</f>
        <v>1027</v>
      </c>
      <c r="I35" s="188"/>
      <c r="J35" s="188"/>
      <c r="K35" s="188">
        <f t="shared" si="0"/>
        <v>0</v>
      </c>
      <c r="L35" s="176"/>
      <c r="M35" s="284">
        <v>0</v>
      </c>
      <c r="N35" s="284" t="e">
        <f t="shared" si="2"/>
        <v>#DIV/0!</v>
      </c>
    </row>
    <row r="36" spans="1:14" s="284" customFormat="1" ht="31.8" hidden="1" x14ac:dyDescent="0.35">
      <c r="A36" s="184"/>
      <c r="B36" s="189"/>
      <c r="C36" s="186"/>
      <c r="D36" s="187" t="s">
        <v>195</v>
      </c>
      <c r="E36" s="186" t="s">
        <v>185</v>
      </c>
      <c r="F36" s="186">
        <v>0.1</v>
      </c>
      <c r="G36" s="188">
        <v>3100</v>
      </c>
      <c r="H36" s="188">
        <f>G36*F36</f>
        <v>310</v>
      </c>
      <c r="I36" s="188"/>
      <c r="J36" s="188"/>
      <c r="K36" s="188">
        <f t="shared" si="0"/>
        <v>0</v>
      </c>
      <c r="L36" s="176"/>
      <c r="M36" s="284">
        <v>0</v>
      </c>
      <c r="N36" s="284" t="e">
        <f t="shared" si="2"/>
        <v>#DIV/0!</v>
      </c>
    </row>
    <row r="37" spans="1:14" s="284" customFormat="1" ht="31.8" hidden="1" x14ac:dyDescent="0.35">
      <c r="A37" s="184"/>
      <c r="B37" s="189"/>
      <c r="C37" s="186"/>
      <c r="D37" s="187" t="s">
        <v>196</v>
      </c>
      <c r="E37" s="186" t="s">
        <v>185</v>
      </c>
      <c r="F37" s="186">
        <v>0.1</v>
      </c>
      <c r="G37" s="188">
        <v>8400</v>
      </c>
      <c r="H37" s="188">
        <f>G37*F37</f>
        <v>840</v>
      </c>
      <c r="I37" s="188"/>
      <c r="J37" s="188"/>
      <c r="K37" s="188">
        <f t="shared" si="0"/>
        <v>0</v>
      </c>
      <c r="L37" s="176"/>
      <c r="M37" s="284">
        <v>0</v>
      </c>
      <c r="N37" s="284" t="e">
        <f t="shared" si="2"/>
        <v>#DIV/0!</v>
      </c>
    </row>
    <row r="38" spans="1:14" s="284" customFormat="1" ht="18" hidden="1" x14ac:dyDescent="0.35">
      <c r="A38" s="184"/>
      <c r="B38" s="190"/>
      <c r="C38" s="186"/>
      <c r="D38" s="187" t="s">
        <v>197</v>
      </c>
      <c r="E38" s="186" t="s">
        <v>185</v>
      </c>
      <c r="F38" s="186">
        <v>0.1</v>
      </c>
      <c r="G38" s="188">
        <v>3100</v>
      </c>
      <c r="H38" s="188">
        <f>G38*F38</f>
        <v>310</v>
      </c>
      <c r="I38" s="188"/>
      <c r="J38" s="188"/>
      <c r="K38" s="188">
        <f t="shared" si="0"/>
        <v>0</v>
      </c>
      <c r="L38" s="176"/>
      <c r="M38" s="284">
        <v>0</v>
      </c>
      <c r="N38" s="284" t="e">
        <f t="shared" si="2"/>
        <v>#DIV/0!</v>
      </c>
    </row>
    <row r="39" spans="1:14" s="284" customFormat="1" ht="36" x14ac:dyDescent="0.35">
      <c r="A39" s="172" t="s">
        <v>59</v>
      </c>
      <c r="B39" s="191" t="s">
        <v>60</v>
      </c>
      <c r="C39" s="174" t="s">
        <v>51</v>
      </c>
      <c r="D39" s="178"/>
      <c r="E39" s="174"/>
      <c r="F39" s="174"/>
      <c r="G39" s="176"/>
      <c r="H39" s="176"/>
      <c r="I39" s="176"/>
      <c r="J39" s="177">
        <v>2.0699999999999998</v>
      </c>
      <c r="K39" s="177">
        <f t="shared" si="0"/>
        <v>2.0699999999999998</v>
      </c>
      <c r="L39" s="176">
        <v>9050</v>
      </c>
      <c r="M39" s="176">
        <v>20700</v>
      </c>
      <c r="N39" s="284">
        <f t="shared" si="2"/>
        <v>9.9999999999999985E-3</v>
      </c>
    </row>
    <row r="40" spans="1:14" s="284" customFormat="1" ht="36" x14ac:dyDescent="0.35">
      <c r="A40" s="172" t="s">
        <v>61</v>
      </c>
      <c r="B40" s="173" t="s">
        <v>62</v>
      </c>
      <c r="C40" s="174" t="s">
        <v>51</v>
      </c>
      <c r="D40" s="178"/>
      <c r="E40" s="174"/>
      <c r="F40" s="174"/>
      <c r="G40" s="176"/>
      <c r="H40" s="176">
        <f>SUM(H41:H46)</f>
        <v>2559.8583333333331</v>
      </c>
      <c r="I40" s="177">
        <v>0.26</v>
      </c>
      <c r="J40" s="177">
        <v>0.81</v>
      </c>
      <c r="K40" s="177">
        <f t="shared" si="0"/>
        <v>1.07</v>
      </c>
      <c r="L40" s="176">
        <v>3830</v>
      </c>
      <c r="M40" s="176">
        <v>10700</v>
      </c>
      <c r="N40" s="284">
        <f t="shared" si="2"/>
        <v>0.01</v>
      </c>
    </row>
    <row r="41" spans="1:14" s="284" customFormat="1" ht="18" hidden="1" x14ac:dyDescent="0.35">
      <c r="A41" s="172"/>
      <c r="B41" s="170"/>
      <c r="C41" s="174"/>
      <c r="D41" s="178" t="s">
        <v>198</v>
      </c>
      <c r="E41" s="174" t="s">
        <v>185</v>
      </c>
      <c r="F41" s="174">
        <v>0.1</v>
      </c>
      <c r="G41" s="176">
        <v>5320</v>
      </c>
      <c r="H41" s="176">
        <f t="shared" ref="H41:H46" si="3">G41*F41</f>
        <v>532</v>
      </c>
      <c r="I41" s="176"/>
      <c r="J41" s="176"/>
      <c r="K41" s="176">
        <f t="shared" si="0"/>
        <v>0</v>
      </c>
      <c r="L41" s="176"/>
      <c r="M41" s="176"/>
    </row>
    <row r="42" spans="1:14" s="284" customFormat="1" ht="31.8" hidden="1" x14ac:dyDescent="0.35">
      <c r="A42" s="172"/>
      <c r="B42" s="170"/>
      <c r="C42" s="174"/>
      <c r="D42" s="178" t="s">
        <v>199</v>
      </c>
      <c r="E42" s="174" t="s">
        <v>185</v>
      </c>
      <c r="F42" s="174">
        <v>0.2</v>
      </c>
      <c r="G42" s="176">
        <v>1800</v>
      </c>
      <c r="H42" s="176">
        <f t="shared" si="3"/>
        <v>360</v>
      </c>
      <c r="I42" s="176"/>
      <c r="J42" s="176"/>
      <c r="K42" s="176">
        <f t="shared" si="0"/>
        <v>0</v>
      </c>
      <c r="L42" s="176"/>
      <c r="M42" s="176"/>
    </row>
    <row r="43" spans="1:14" s="284" customFormat="1" ht="31.8" hidden="1" x14ac:dyDescent="0.35">
      <c r="A43" s="172"/>
      <c r="B43" s="170"/>
      <c r="C43" s="174"/>
      <c r="D43" s="178" t="s">
        <v>200</v>
      </c>
      <c r="E43" s="174" t="s">
        <v>201</v>
      </c>
      <c r="F43" s="174">
        <v>0.1</v>
      </c>
      <c r="G43" s="176">
        <f>32000/120</f>
        <v>266.66666666666669</v>
      </c>
      <c r="H43" s="176">
        <f t="shared" si="3"/>
        <v>26.666666666666671</v>
      </c>
      <c r="I43" s="176"/>
      <c r="J43" s="176"/>
      <c r="K43" s="176">
        <f t="shared" si="0"/>
        <v>0</v>
      </c>
      <c r="L43" s="176"/>
      <c r="M43" s="176"/>
    </row>
    <row r="44" spans="1:14" s="284" customFormat="1" ht="18" hidden="1" x14ac:dyDescent="0.35">
      <c r="A44" s="172"/>
      <c r="B44" s="170"/>
      <c r="C44" s="174"/>
      <c r="D44" s="178" t="s">
        <v>202</v>
      </c>
      <c r="E44" s="174" t="s">
        <v>192</v>
      </c>
      <c r="F44" s="174">
        <v>1</v>
      </c>
      <c r="G44" s="179">
        <v>31</v>
      </c>
      <c r="H44" s="176">
        <f t="shared" si="3"/>
        <v>31</v>
      </c>
      <c r="I44" s="176"/>
      <c r="J44" s="176"/>
      <c r="K44" s="176">
        <f t="shared" si="0"/>
        <v>0</v>
      </c>
      <c r="L44" s="176"/>
      <c r="M44" s="176"/>
    </row>
    <row r="45" spans="1:14" s="284" customFormat="1" ht="18" hidden="1" x14ac:dyDescent="0.35">
      <c r="A45" s="172"/>
      <c r="B45" s="170"/>
      <c r="C45" s="174"/>
      <c r="D45" s="178" t="s">
        <v>203</v>
      </c>
      <c r="E45" s="174" t="s">
        <v>185</v>
      </c>
      <c r="F45" s="174">
        <v>1</v>
      </c>
      <c r="G45" s="179">
        <f>81982/80</f>
        <v>1024.7750000000001</v>
      </c>
      <c r="H45" s="176">
        <f t="shared" si="3"/>
        <v>1024.7750000000001</v>
      </c>
      <c r="I45" s="176"/>
      <c r="J45" s="176"/>
      <c r="K45" s="176"/>
      <c r="L45" s="176"/>
      <c r="M45" s="176"/>
    </row>
    <row r="46" spans="1:14" s="284" customFormat="1" ht="18.600000000000001" hidden="1" customHeight="1" x14ac:dyDescent="0.35">
      <c r="A46" s="172"/>
      <c r="B46" s="170"/>
      <c r="C46" s="174"/>
      <c r="D46" s="178" t="s">
        <v>204</v>
      </c>
      <c r="E46" s="174" t="s">
        <v>185</v>
      </c>
      <c r="F46" s="174">
        <v>0.25</v>
      </c>
      <c r="G46" s="179">
        <f>28100/12</f>
        <v>2341.6666666666665</v>
      </c>
      <c r="H46" s="176">
        <f t="shared" si="3"/>
        <v>585.41666666666663</v>
      </c>
      <c r="I46" s="176"/>
      <c r="J46" s="176"/>
      <c r="K46" s="176"/>
      <c r="L46" s="176"/>
      <c r="M46" s="176"/>
    </row>
    <row r="47" spans="1:14" s="284" customFormat="1" ht="36" x14ac:dyDescent="0.35">
      <c r="A47" s="172" t="s">
        <v>63</v>
      </c>
      <c r="B47" s="173" t="s">
        <v>64</v>
      </c>
      <c r="C47" s="174" t="s">
        <v>51</v>
      </c>
      <c r="D47" s="178"/>
      <c r="E47" s="174"/>
      <c r="F47" s="174"/>
      <c r="G47" s="176"/>
      <c r="H47" s="176">
        <f>SUM(H48:H49)</f>
        <v>71.300000000000011</v>
      </c>
      <c r="I47" s="177">
        <v>0.01</v>
      </c>
      <c r="J47" s="177">
        <v>1.56</v>
      </c>
      <c r="K47" s="177">
        <f t="shared" ref="K47:K70" si="4">I47+J47</f>
        <v>1.57</v>
      </c>
      <c r="L47" s="176">
        <v>6880</v>
      </c>
      <c r="M47" s="176">
        <v>15700</v>
      </c>
      <c r="N47" s="284">
        <f>K47/M47*100</f>
        <v>0.01</v>
      </c>
    </row>
    <row r="48" spans="1:14" s="284" customFormat="1" ht="18" hidden="1" x14ac:dyDescent="0.35">
      <c r="A48" s="172"/>
      <c r="B48" s="170"/>
      <c r="C48" s="174"/>
      <c r="D48" s="178" t="s">
        <v>202</v>
      </c>
      <c r="E48" s="174" t="s">
        <v>192</v>
      </c>
      <c r="F48" s="174">
        <v>1</v>
      </c>
      <c r="G48" s="192">
        <f>G44</f>
        <v>31</v>
      </c>
      <c r="H48" s="176">
        <f>G48*F48</f>
        <v>31</v>
      </c>
      <c r="I48" s="177"/>
      <c r="J48" s="177"/>
      <c r="K48" s="177">
        <f t="shared" si="4"/>
        <v>0</v>
      </c>
      <c r="L48" s="176"/>
      <c r="M48" s="176"/>
    </row>
    <row r="49" spans="1:14" s="284" customFormat="1" ht="18" hidden="1" x14ac:dyDescent="0.35">
      <c r="A49" s="172"/>
      <c r="B49" s="170"/>
      <c r="C49" s="174"/>
      <c r="D49" s="178" t="s">
        <v>184</v>
      </c>
      <c r="E49" s="174" t="s">
        <v>192</v>
      </c>
      <c r="F49" s="174">
        <v>1E-3</v>
      </c>
      <c r="G49" s="192">
        <f>G22</f>
        <v>40300</v>
      </c>
      <c r="H49" s="176">
        <f>G49*F49</f>
        <v>40.300000000000004</v>
      </c>
      <c r="I49" s="177"/>
      <c r="J49" s="177"/>
      <c r="K49" s="177">
        <f t="shared" si="4"/>
        <v>0</v>
      </c>
      <c r="L49" s="176"/>
      <c r="M49" s="176"/>
    </row>
    <row r="50" spans="1:14" s="284" customFormat="1" ht="36" hidden="1" x14ac:dyDescent="0.35">
      <c r="A50" s="193" t="s">
        <v>65</v>
      </c>
      <c r="B50" s="185" t="s">
        <v>205</v>
      </c>
      <c r="C50" s="186" t="s">
        <v>51</v>
      </c>
      <c r="D50" s="187"/>
      <c r="E50" s="186"/>
      <c r="F50" s="186"/>
      <c r="G50" s="188"/>
      <c r="H50" s="188">
        <f>H51+H52</f>
        <v>168.09</v>
      </c>
      <c r="I50" s="194">
        <v>150</v>
      </c>
      <c r="J50" s="194">
        <f>[2]Лист2!S20</f>
        <v>10400</v>
      </c>
      <c r="K50" s="194">
        <f t="shared" si="4"/>
        <v>10550</v>
      </c>
      <c r="L50" s="176">
        <v>4680</v>
      </c>
      <c r="M50" s="176">
        <v>8900</v>
      </c>
      <c r="N50" s="284">
        <f>K50/M50*100</f>
        <v>118.53932584269661</v>
      </c>
    </row>
    <row r="51" spans="1:14" s="284" customFormat="1" ht="18" hidden="1" x14ac:dyDescent="0.35">
      <c r="A51" s="184"/>
      <c r="B51" s="185"/>
      <c r="C51" s="186"/>
      <c r="D51" s="195" t="s">
        <v>206</v>
      </c>
      <c r="E51" s="189" t="s">
        <v>185</v>
      </c>
      <c r="F51" s="196">
        <v>1E-3</v>
      </c>
      <c r="G51" s="188">
        <v>137090</v>
      </c>
      <c r="H51" s="188">
        <f>G51*F51</f>
        <v>137.09</v>
      </c>
      <c r="I51" s="194"/>
      <c r="J51" s="194"/>
      <c r="K51" s="194">
        <f t="shared" si="4"/>
        <v>0</v>
      </c>
      <c r="L51" s="176"/>
      <c r="M51" s="176">
        <v>0</v>
      </c>
      <c r="N51" s="284" t="e">
        <f>K51/M51*100</f>
        <v>#DIV/0!</v>
      </c>
    </row>
    <row r="52" spans="1:14" s="284" customFormat="1" ht="18" hidden="1" x14ac:dyDescent="0.35">
      <c r="A52" s="184"/>
      <c r="B52" s="189"/>
      <c r="C52" s="186"/>
      <c r="D52" s="195" t="s">
        <v>202</v>
      </c>
      <c r="E52" s="189" t="s">
        <v>192</v>
      </c>
      <c r="F52" s="196">
        <v>1</v>
      </c>
      <c r="G52" s="192">
        <f>G48</f>
        <v>31</v>
      </c>
      <c r="H52" s="188">
        <f>G52*F52</f>
        <v>31</v>
      </c>
      <c r="I52" s="194"/>
      <c r="J52" s="194"/>
      <c r="K52" s="194">
        <f t="shared" si="4"/>
        <v>0</v>
      </c>
      <c r="L52" s="176"/>
      <c r="M52" s="176">
        <v>0</v>
      </c>
      <c r="N52" s="284" t="e">
        <f>K52/M52*100</f>
        <v>#DIV/0!</v>
      </c>
    </row>
    <row r="53" spans="1:14" s="284" customFormat="1" ht="18" x14ac:dyDescent="0.35">
      <c r="A53" s="172" t="s">
        <v>66</v>
      </c>
      <c r="B53" s="173" t="s">
        <v>67</v>
      </c>
      <c r="C53" s="174" t="s">
        <v>51</v>
      </c>
      <c r="D53" s="178"/>
      <c r="E53" s="174"/>
      <c r="F53" s="174"/>
      <c r="G53" s="176"/>
      <c r="H53" s="176">
        <f>H54</f>
        <v>126.27</v>
      </c>
      <c r="I53" s="177">
        <v>0.02</v>
      </c>
      <c r="J53" s="177">
        <v>1.29</v>
      </c>
      <c r="K53" s="177">
        <f t="shared" si="4"/>
        <v>1.31</v>
      </c>
      <c r="L53" s="176">
        <v>5710</v>
      </c>
      <c r="M53" s="176">
        <v>13100</v>
      </c>
      <c r="N53" s="284">
        <f>K53/M53*100</f>
        <v>0.01</v>
      </c>
    </row>
    <row r="54" spans="1:14" s="284" customFormat="1" ht="31.8" hidden="1" x14ac:dyDescent="0.35">
      <c r="A54" s="172"/>
      <c r="B54" s="170"/>
      <c r="C54" s="174"/>
      <c r="D54" s="178" t="s">
        <v>207</v>
      </c>
      <c r="E54" s="174" t="s">
        <v>201</v>
      </c>
      <c r="F54" s="174">
        <v>0.5</v>
      </c>
      <c r="G54" s="176">
        <f>12627/50</f>
        <v>252.54</v>
      </c>
      <c r="H54" s="176">
        <f>G54*F54</f>
        <v>126.27</v>
      </c>
      <c r="I54" s="177"/>
      <c r="J54" s="177"/>
      <c r="K54" s="177">
        <f t="shared" si="4"/>
        <v>0</v>
      </c>
      <c r="L54" s="176"/>
      <c r="M54" s="176"/>
    </row>
    <row r="55" spans="1:14" s="284" customFormat="1" ht="18" x14ac:dyDescent="0.35">
      <c r="A55" s="172" t="s">
        <v>65</v>
      </c>
      <c r="B55" s="173" t="s">
        <v>68</v>
      </c>
      <c r="C55" s="174" t="s">
        <v>51</v>
      </c>
      <c r="D55" s="178"/>
      <c r="E55" s="174"/>
      <c r="F55" s="174"/>
      <c r="G55" s="176"/>
      <c r="H55" s="176">
        <f>SUM(H56:H59)</f>
        <v>6588.3441999999995</v>
      </c>
      <c r="I55" s="177">
        <v>0.66</v>
      </c>
      <c r="J55" s="177">
        <v>3.23</v>
      </c>
      <c r="K55" s="177">
        <f t="shared" si="4"/>
        <v>3.89</v>
      </c>
      <c r="L55" s="176">
        <v>19810</v>
      </c>
      <c r="M55" s="176">
        <v>38900</v>
      </c>
      <c r="N55" s="284">
        <f>K55/M55*100</f>
        <v>0.01</v>
      </c>
    </row>
    <row r="56" spans="1:14" s="284" customFormat="1" ht="18" hidden="1" x14ac:dyDescent="0.35">
      <c r="A56" s="172"/>
      <c r="B56" s="170"/>
      <c r="C56" s="174"/>
      <c r="D56" s="178" t="s">
        <v>208</v>
      </c>
      <c r="E56" s="174" t="s">
        <v>185</v>
      </c>
      <c r="F56" s="174" t="s">
        <v>209</v>
      </c>
      <c r="G56" s="176"/>
      <c r="H56" s="176"/>
      <c r="I56" s="177"/>
      <c r="J56" s="177"/>
      <c r="K56" s="177">
        <f t="shared" si="4"/>
        <v>0</v>
      </c>
      <c r="L56" s="176"/>
      <c r="M56" s="176"/>
    </row>
    <row r="57" spans="1:14" s="284" customFormat="1" ht="18" hidden="1" x14ac:dyDescent="0.35">
      <c r="A57" s="172"/>
      <c r="B57" s="170"/>
      <c r="C57" s="174"/>
      <c r="D57" s="178" t="s">
        <v>210</v>
      </c>
      <c r="E57" s="174" t="s">
        <v>185</v>
      </c>
      <c r="F57" s="174">
        <v>0.33329999999999999</v>
      </c>
      <c r="G57" s="176">
        <v>9404</v>
      </c>
      <c r="H57" s="176">
        <f>G57*F57</f>
        <v>3134.3532</v>
      </c>
      <c r="I57" s="177"/>
      <c r="J57" s="177"/>
      <c r="K57" s="177">
        <f t="shared" si="4"/>
        <v>0</v>
      </c>
      <c r="L57" s="176"/>
      <c r="M57" s="176"/>
    </row>
    <row r="58" spans="1:14" s="284" customFormat="1" ht="18" hidden="1" x14ac:dyDescent="0.35">
      <c r="A58" s="172"/>
      <c r="B58" s="170"/>
      <c r="C58" s="174"/>
      <c r="D58" s="178" t="s">
        <v>194</v>
      </c>
      <c r="E58" s="174" t="s">
        <v>185</v>
      </c>
      <c r="F58" s="174">
        <v>0.33329999999999999</v>
      </c>
      <c r="G58" s="176">
        <v>10270</v>
      </c>
      <c r="H58" s="176">
        <f>G58*F58</f>
        <v>3422.991</v>
      </c>
      <c r="I58" s="177"/>
      <c r="J58" s="177"/>
      <c r="K58" s="177">
        <f t="shared" si="4"/>
        <v>0</v>
      </c>
      <c r="L58" s="176"/>
      <c r="M58" s="176"/>
    </row>
    <row r="59" spans="1:14" s="284" customFormat="1" ht="18" hidden="1" x14ac:dyDescent="0.35">
      <c r="A59" s="172"/>
      <c r="B59" s="170"/>
      <c r="C59" s="174"/>
      <c r="D59" s="178" t="s">
        <v>202</v>
      </c>
      <c r="E59" s="174" t="s">
        <v>192</v>
      </c>
      <c r="F59" s="174">
        <v>1</v>
      </c>
      <c r="G59" s="192">
        <f>G48</f>
        <v>31</v>
      </c>
      <c r="H59" s="176">
        <f>G59*F59</f>
        <v>31</v>
      </c>
      <c r="I59" s="177"/>
      <c r="J59" s="177"/>
      <c r="K59" s="177">
        <f t="shared" si="4"/>
        <v>0</v>
      </c>
      <c r="L59" s="176"/>
      <c r="M59" s="176"/>
    </row>
    <row r="60" spans="1:14" s="284" customFormat="1" ht="18" x14ac:dyDescent="0.35">
      <c r="A60" s="172" t="s">
        <v>69</v>
      </c>
      <c r="B60" s="173" t="s">
        <v>70</v>
      </c>
      <c r="C60" s="174" t="s">
        <v>51</v>
      </c>
      <c r="D60" s="178"/>
      <c r="E60" s="174"/>
      <c r="F60" s="174"/>
      <c r="G60" s="176"/>
      <c r="H60" s="176">
        <f>SUM(H61:H64)</f>
        <v>4949.5</v>
      </c>
      <c r="I60" s="177">
        <v>0.5</v>
      </c>
      <c r="J60" s="177">
        <v>1.62</v>
      </c>
      <c r="K60" s="177">
        <f t="shared" si="4"/>
        <v>2.12</v>
      </c>
      <c r="L60" s="176">
        <v>11470</v>
      </c>
      <c r="M60" s="176">
        <v>21200</v>
      </c>
      <c r="N60" s="284">
        <f>K60/M60*100</f>
        <v>0.01</v>
      </c>
    </row>
    <row r="61" spans="1:14" s="284" customFormat="1" ht="18" hidden="1" x14ac:dyDescent="0.35">
      <c r="A61" s="172"/>
      <c r="B61" s="170"/>
      <c r="C61" s="174"/>
      <c r="D61" s="178" t="s">
        <v>208</v>
      </c>
      <c r="E61" s="174" t="s">
        <v>185</v>
      </c>
      <c r="F61" s="174" t="s">
        <v>211</v>
      </c>
      <c r="G61" s="176">
        <v>0</v>
      </c>
      <c r="H61" s="176"/>
      <c r="I61" s="177"/>
      <c r="J61" s="177"/>
      <c r="K61" s="177">
        <f t="shared" si="4"/>
        <v>0</v>
      </c>
      <c r="L61" s="176"/>
      <c r="M61" s="176"/>
    </row>
    <row r="62" spans="1:14" s="284" customFormat="1" ht="18" hidden="1" x14ac:dyDescent="0.35">
      <c r="A62" s="172"/>
      <c r="B62" s="170"/>
      <c r="C62" s="174"/>
      <c r="D62" s="178" t="s">
        <v>210</v>
      </c>
      <c r="E62" s="174" t="s">
        <v>185</v>
      </c>
      <c r="F62" s="174">
        <v>0.25</v>
      </c>
      <c r="G62" s="176">
        <v>9404</v>
      </c>
      <c r="H62" s="176">
        <f>G62*F62</f>
        <v>2351</v>
      </c>
      <c r="I62" s="177"/>
      <c r="J62" s="177"/>
      <c r="K62" s="177">
        <f t="shared" si="4"/>
        <v>0</v>
      </c>
      <c r="L62" s="176"/>
      <c r="M62" s="176"/>
    </row>
    <row r="63" spans="1:14" s="284" customFormat="1" ht="18" hidden="1" x14ac:dyDescent="0.35">
      <c r="A63" s="172"/>
      <c r="B63" s="170"/>
      <c r="C63" s="174"/>
      <c r="D63" s="178" t="s">
        <v>194</v>
      </c>
      <c r="E63" s="174" t="s">
        <v>185</v>
      </c>
      <c r="F63" s="174">
        <v>0.25</v>
      </c>
      <c r="G63" s="176">
        <v>10270</v>
      </c>
      <c r="H63" s="176">
        <f>G63*F63</f>
        <v>2567.5</v>
      </c>
      <c r="I63" s="177"/>
      <c r="J63" s="177"/>
      <c r="K63" s="177">
        <f t="shared" si="4"/>
        <v>0</v>
      </c>
      <c r="L63" s="176"/>
      <c r="M63" s="176"/>
    </row>
    <row r="64" spans="1:14" s="284" customFormat="1" ht="18" hidden="1" x14ac:dyDescent="0.35">
      <c r="A64" s="172"/>
      <c r="B64" s="170"/>
      <c r="C64" s="174"/>
      <c r="D64" s="178" t="s">
        <v>202</v>
      </c>
      <c r="E64" s="174" t="s">
        <v>192</v>
      </c>
      <c r="F64" s="174">
        <v>1</v>
      </c>
      <c r="G64" s="192">
        <f>G48</f>
        <v>31</v>
      </c>
      <c r="H64" s="176">
        <f>G64*F64</f>
        <v>31</v>
      </c>
      <c r="I64" s="177"/>
      <c r="J64" s="177"/>
      <c r="K64" s="177">
        <f t="shared" si="4"/>
        <v>0</v>
      </c>
      <c r="L64" s="176"/>
      <c r="M64" s="176"/>
    </row>
    <row r="65" spans="1:14" s="284" customFormat="1" ht="18" x14ac:dyDescent="0.35">
      <c r="A65" s="172" t="s">
        <v>71</v>
      </c>
      <c r="B65" s="173" t="s">
        <v>72</v>
      </c>
      <c r="C65" s="174" t="s">
        <v>51</v>
      </c>
      <c r="D65" s="178"/>
      <c r="E65" s="174"/>
      <c r="F65" s="174"/>
      <c r="G65" s="176"/>
      <c r="H65" s="176">
        <f>H66+H67</f>
        <v>7753.7</v>
      </c>
      <c r="I65" s="177">
        <v>0.78</v>
      </c>
      <c r="J65" s="177">
        <f>2.7</f>
        <v>2.7</v>
      </c>
      <c r="K65" s="177">
        <f t="shared" si="4"/>
        <v>3.4800000000000004</v>
      </c>
      <c r="L65" s="176">
        <v>17690</v>
      </c>
      <c r="M65" s="176">
        <v>34800</v>
      </c>
      <c r="N65" s="284">
        <f>K65/M65*100</f>
        <v>1.0000000000000002E-2</v>
      </c>
    </row>
    <row r="66" spans="1:14" s="284" customFormat="1" ht="19.5" hidden="1" customHeight="1" x14ac:dyDescent="0.35">
      <c r="A66" s="172"/>
      <c r="B66" s="170"/>
      <c r="C66" s="174"/>
      <c r="D66" s="178" t="s">
        <v>212</v>
      </c>
      <c r="E66" s="174" t="s">
        <v>213</v>
      </c>
      <c r="F66" s="174">
        <v>1</v>
      </c>
      <c r="G66" s="179">
        <f>357685/50</f>
        <v>7153.7</v>
      </c>
      <c r="H66" s="176">
        <f>G66*F66</f>
        <v>7153.7</v>
      </c>
      <c r="I66" s="177"/>
      <c r="J66" s="177"/>
      <c r="K66" s="177">
        <f t="shared" si="4"/>
        <v>0</v>
      </c>
      <c r="L66" s="176"/>
      <c r="M66" s="176"/>
    </row>
    <row r="67" spans="1:14" s="284" customFormat="1" ht="18" hidden="1" x14ac:dyDescent="0.35">
      <c r="A67" s="172"/>
      <c r="B67" s="170"/>
      <c r="C67" s="174"/>
      <c r="D67" s="178" t="s">
        <v>214</v>
      </c>
      <c r="E67" s="174" t="s">
        <v>185</v>
      </c>
      <c r="F67" s="174">
        <v>1</v>
      </c>
      <c r="G67" s="179">
        <v>600</v>
      </c>
      <c r="H67" s="176">
        <f>G67*F67</f>
        <v>600</v>
      </c>
      <c r="I67" s="177"/>
      <c r="J67" s="177"/>
      <c r="K67" s="177">
        <f t="shared" si="4"/>
        <v>0</v>
      </c>
      <c r="L67" s="176"/>
      <c r="M67" s="176"/>
    </row>
    <row r="68" spans="1:14" s="284" customFormat="1" ht="18" x14ac:dyDescent="0.35">
      <c r="A68" s="172" t="s">
        <v>73</v>
      </c>
      <c r="B68" s="173" t="s">
        <v>74</v>
      </c>
      <c r="C68" s="174" t="s">
        <v>51</v>
      </c>
      <c r="D68" s="178"/>
      <c r="E68" s="174"/>
      <c r="F68" s="174"/>
      <c r="G68" s="176"/>
      <c r="H68" s="176">
        <f>H69+H70</f>
        <v>7753.7</v>
      </c>
      <c r="I68" s="177">
        <v>0.78</v>
      </c>
      <c r="J68" s="177">
        <v>4.0199999999999996</v>
      </c>
      <c r="K68" s="177">
        <f t="shared" si="4"/>
        <v>4.8</v>
      </c>
      <c r="L68" s="176">
        <v>23340</v>
      </c>
      <c r="M68" s="176">
        <v>48000</v>
      </c>
      <c r="N68" s="284">
        <f>K68/M68*100</f>
        <v>9.9999999999999985E-3</v>
      </c>
    </row>
    <row r="69" spans="1:14" s="284" customFormat="1" ht="19.5" hidden="1" customHeight="1" x14ac:dyDescent="0.35">
      <c r="A69" s="172"/>
      <c r="B69" s="170"/>
      <c r="C69" s="174"/>
      <c r="D69" s="178" t="s">
        <v>212</v>
      </c>
      <c r="E69" s="174" t="s">
        <v>213</v>
      </c>
      <c r="F69" s="174">
        <v>1</v>
      </c>
      <c r="G69" s="192">
        <f>G66</f>
        <v>7153.7</v>
      </c>
      <c r="H69" s="176">
        <f>G69*F69</f>
        <v>7153.7</v>
      </c>
      <c r="I69" s="176"/>
      <c r="J69" s="176"/>
      <c r="K69" s="176">
        <f t="shared" si="4"/>
        <v>0</v>
      </c>
      <c r="L69" s="176"/>
    </row>
    <row r="70" spans="1:14" s="284" customFormat="1" ht="18" hidden="1" x14ac:dyDescent="0.35">
      <c r="A70" s="172"/>
      <c r="B70" s="287"/>
      <c r="C70" s="288"/>
      <c r="D70" s="289" t="s">
        <v>214</v>
      </c>
      <c r="E70" s="288" t="s">
        <v>185</v>
      </c>
      <c r="F70" s="288">
        <v>1</v>
      </c>
      <c r="G70" s="290">
        <f>G67</f>
        <v>600</v>
      </c>
      <c r="H70" s="291">
        <f>G70*F70</f>
        <v>600</v>
      </c>
      <c r="I70" s="291"/>
      <c r="J70" s="291"/>
      <c r="K70" s="291">
        <f t="shared" si="4"/>
        <v>0</v>
      </c>
      <c r="L70" s="291"/>
    </row>
    <row r="71" spans="1:14" x14ac:dyDescent="0.25">
      <c r="A71" s="197" t="s">
        <v>75</v>
      </c>
      <c r="B71" s="416" t="s">
        <v>76</v>
      </c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8"/>
      <c r="N71" s="284"/>
    </row>
    <row r="72" spans="1:14" s="284" customFormat="1" ht="53.4" hidden="1" x14ac:dyDescent="0.35">
      <c r="A72" s="184" t="s">
        <v>77</v>
      </c>
      <c r="B72" s="292" t="s">
        <v>215</v>
      </c>
      <c r="C72" s="293" t="s">
        <v>216</v>
      </c>
      <c r="D72" s="294" t="s">
        <v>217</v>
      </c>
      <c r="E72" s="295"/>
      <c r="F72" s="295"/>
      <c r="G72" s="296"/>
      <c r="H72" s="296">
        <f>SUM(H73:H78)</f>
        <v>12363.271666666667</v>
      </c>
      <c r="I72" s="296">
        <v>12350</v>
      </c>
      <c r="J72" s="296">
        <f>[2]Лист2!S28</f>
        <v>27000</v>
      </c>
      <c r="K72" s="296">
        <f t="shared" ref="K72:K87" si="5">J72+I72</f>
        <v>39350</v>
      </c>
      <c r="L72" s="297">
        <v>23470</v>
      </c>
      <c r="M72" s="284">
        <v>34200</v>
      </c>
      <c r="N72" s="284">
        <f t="shared" ref="N72:N87" si="6">K72/M72*100</f>
        <v>115.05847953216374</v>
      </c>
    </row>
    <row r="73" spans="1:14" s="284" customFormat="1" ht="31.8" hidden="1" x14ac:dyDescent="0.35">
      <c r="A73" s="184"/>
      <c r="B73" s="189"/>
      <c r="C73" s="198"/>
      <c r="D73" s="187" t="s">
        <v>218</v>
      </c>
      <c r="E73" s="186" t="s">
        <v>201</v>
      </c>
      <c r="F73" s="186">
        <v>0.1</v>
      </c>
      <c r="G73" s="188">
        <f>431455/4</f>
        <v>107863.75</v>
      </c>
      <c r="H73" s="188">
        <f t="shared" ref="H73:H78" si="7">G73*F73</f>
        <v>10786.375</v>
      </c>
      <c r="I73" s="188"/>
      <c r="J73" s="188"/>
      <c r="K73" s="188">
        <f t="shared" si="5"/>
        <v>0</v>
      </c>
      <c r="L73" s="176"/>
      <c r="M73" s="284">
        <v>0</v>
      </c>
      <c r="N73" s="284" t="e">
        <f t="shared" si="6"/>
        <v>#DIV/0!</v>
      </c>
    </row>
    <row r="74" spans="1:14" s="284" customFormat="1" ht="18" hidden="1" x14ac:dyDescent="0.35">
      <c r="A74" s="184"/>
      <c r="B74" s="189"/>
      <c r="C74" s="198"/>
      <c r="D74" s="187" t="s">
        <v>197</v>
      </c>
      <c r="E74" s="186" t="s">
        <v>185</v>
      </c>
      <c r="F74" s="186">
        <v>0.15</v>
      </c>
      <c r="G74" s="188">
        <v>3100</v>
      </c>
      <c r="H74" s="188">
        <f t="shared" si="7"/>
        <v>465</v>
      </c>
      <c r="I74" s="188"/>
      <c r="J74" s="188"/>
      <c r="K74" s="188">
        <f t="shared" si="5"/>
        <v>0</v>
      </c>
      <c r="L74" s="176"/>
      <c r="M74" s="284">
        <v>0</v>
      </c>
      <c r="N74" s="284" t="e">
        <f t="shared" si="6"/>
        <v>#DIV/0!</v>
      </c>
    </row>
    <row r="75" spans="1:14" s="284" customFormat="1" ht="18" hidden="1" x14ac:dyDescent="0.35">
      <c r="A75" s="184"/>
      <c r="B75" s="189"/>
      <c r="C75" s="198"/>
      <c r="D75" s="187" t="s">
        <v>198</v>
      </c>
      <c r="E75" s="186" t="s">
        <v>185</v>
      </c>
      <c r="F75" s="186">
        <v>0.05</v>
      </c>
      <c r="G75" s="188">
        <v>4320</v>
      </c>
      <c r="H75" s="188">
        <f t="shared" si="7"/>
        <v>216</v>
      </c>
      <c r="I75" s="188"/>
      <c r="J75" s="188"/>
      <c r="K75" s="188">
        <f t="shared" si="5"/>
        <v>0</v>
      </c>
      <c r="L75" s="176"/>
      <c r="M75" s="284">
        <v>0</v>
      </c>
      <c r="N75" s="284" t="e">
        <f t="shared" si="6"/>
        <v>#DIV/0!</v>
      </c>
    </row>
    <row r="76" spans="1:14" s="284" customFormat="1" ht="19.5" hidden="1" customHeight="1" x14ac:dyDescent="0.35">
      <c r="A76" s="184"/>
      <c r="B76" s="189"/>
      <c r="C76" s="198"/>
      <c r="D76" s="187" t="s">
        <v>219</v>
      </c>
      <c r="E76" s="186" t="s">
        <v>201</v>
      </c>
      <c r="F76" s="186">
        <v>0.1</v>
      </c>
      <c r="G76" s="188">
        <f>29876/120</f>
        <v>248.96666666666667</v>
      </c>
      <c r="H76" s="188">
        <f t="shared" si="7"/>
        <v>24.896666666666668</v>
      </c>
      <c r="I76" s="188"/>
      <c r="J76" s="188"/>
      <c r="K76" s="188">
        <f t="shared" si="5"/>
        <v>0</v>
      </c>
      <c r="L76" s="176"/>
      <c r="M76" s="284">
        <v>0</v>
      </c>
      <c r="N76" s="284" t="e">
        <f t="shared" si="6"/>
        <v>#DIV/0!</v>
      </c>
    </row>
    <row r="77" spans="1:14" s="284" customFormat="1" ht="40.5" hidden="1" customHeight="1" x14ac:dyDescent="0.35">
      <c r="A77" s="184"/>
      <c r="B77" s="189"/>
      <c r="C77" s="198"/>
      <c r="D77" s="187" t="s">
        <v>196</v>
      </c>
      <c r="E77" s="186" t="s">
        <v>185</v>
      </c>
      <c r="F77" s="186">
        <v>0.1</v>
      </c>
      <c r="G77" s="188">
        <v>8400</v>
      </c>
      <c r="H77" s="188">
        <f t="shared" si="7"/>
        <v>840</v>
      </c>
      <c r="I77" s="188"/>
      <c r="J77" s="188"/>
      <c r="K77" s="188">
        <f t="shared" si="5"/>
        <v>0</v>
      </c>
      <c r="L77" s="176"/>
      <c r="M77" s="284">
        <v>0</v>
      </c>
      <c r="N77" s="284" t="e">
        <f t="shared" si="6"/>
        <v>#DIV/0!</v>
      </c>
    </row>
    <row r="78" spans="1:14" s="284" customFormat="1" ht="18" hidden="1" x14ac:dyDescent="0.35">
      <c r="A78" s="184"/>
      <c r="B78" s="189"/>
      <c r="C78" s="198"/>
      <c r="D78" s="187" t="s">
        <v>202</v>
      </c>
      <c r="E78" s="186" t="s">
        <v>192</v>
      </c>
      <c r="F78" s="186">
        <v>1</v>
      </c>
      <c r="G78" s="192">
        <f>G48</f>
        <v>31</v>
      </c>
      <c r="H78" s="188">
        <f t="shared" si="7"/>
        <v>31</v>
      </c>
      <c r="I78" s="188"/>
      <c r="J78" s="188"/>
      <c r="K78" s="188">
        <f t="shared" si="5"/>
        <v>0</v>
      </c>
      <c r="L78" s="176"/>
      <c r="M78" s="284">
        <v>0</v>
      </c>
      <c r="N78" s="284" t="e">
        <f t="shared" si="6"/>
        <v>#DIV/0!</v>
      </c>
    </row>
    <row r="79" spans="1:14" s="284" customFormat="1" ht="54" hidden="1" x14ac:dyDescent="0.35">
      <c r="A79" s="184" t="s">
        <v>78</v>
      </c>
      <c r="B79" s="185" t="s">
        <v>220</v>
      </c>
      <c r="C79" s="198" t="s">
        <v>216</v>
      </c>
      <c r="D79" s="199" t="s">
        <v>217</v>
      </c>
      <c r="E79" s="186"/>
      <c r="F79" s="186"/>
      <c r="G79" s="188"/>
      <c r="H79" s="188">
        <f>SUM(H80:H87)</f>
        <v>25107.046666666669</v>
      </c>
      <c r="I79" s="188">
        <v>25100</v>
      </c>
      <c r="J79" s="188">
        <f>[2]Лист2!S29</f>
        <v>40500</v>
      </c>
      <c r="K79" s="188">
        <f t="shared" si="5"/>
        <v>65600</v>
      </c>
      <c r="L79" s="176">
        <v>41930</v>
      </c>
      <c r="M79" s="284">
        <v>57900</v>
      </c>
      <c r="N79" s="284">
        <f t="shared" si="6"/>
        <v>113.29879101899827</v>
      </c>
    </row>
    <row r="80" spans="1:14" s="284" customFormat="1" ht="31.8" hidden="1" x14ac:dyDescent="0.35">
      <c r="A80" s="184"/>
      <c r="B80" s="189"/>
      <c r="C80" s="186"/>
      <c r="D80" s="187" t="s">
        <v>218</v>
      </c>
      <c r="E80" s="186" t="s">
        <v>201</v>
      </c>
      <c r="F80" s="186">
        <v>0.2</v>
      </c>
      <c r="G80" s="188">
        <f>431455/4</f>
        <v>107863.75</v>
      </c>
      <c r="H80" s="188">
        <f t="shared" ref="H80:H87" si="8">G80*F80</f>
        <v>21572.75</v>
      </c>
      <c r="I80" s="188"/>
      <c r="J80" s="188"/>
      <c r="K80" s="188">
        <f t="shared" si="5"/>
        <v>0</v>
      </c>
      <c r="L80" s="176"/>
      <c r="M80" s="284">
        <v>0</v>
      </c>
      <c r="N80" s="284" t="e">
        <f t="shared" si="6"/>
        <v>#DIV/0!</v>
      </c>
    </row>
    <row r="81" spans="1:14" s="284" customFormat="1" ht="18" hidden="1" x14ac:dyDescent="0.35">
      <c r="A81" s="184"/>
      <c r="B81" s="189"/>
      <c r="C81" s="186"/>
      <c r="D81" s="187" t="s">
        <v>197</v>
      </c>
      <c r="E81" s="186" t="s">
        <v>185</v>
      </c>
      <c r="F81" s="186">
        <v>0.15</v>
      </c>
      <c r="G81" s="188">
        <v>3100</v>
      </c>
      <c r="H81" s="188">
        <f t="shared" si="8"/>
        <v>465</v>
      </c>
      <c r="I81" s="188"/>
      <c r="J81" s="188"/>
      <c r="K81" s="188">
        <f t="shared" si="5"/>
        <v>0</v>
      </c>
      <c r="L81" s="176"/>
      <c r="M81" s="284">
        <v>0</v>
      </c>
      <c r="N81" s="284" t="e">
        <f t="shared" si="6"/>
        <v>#DIV/0!</v>
      </c>
    </row>
    <row r="82" spans="1:14" s="284" customFormat="1" ht="18" hidden="1" x14ac:dyDescent="0.35">
      <c r="A82" s="184"/>
      <c r="B82" s="189"/>
      <c r="C82" s="186"/>
      <c r="D82" s="187" t="s">
        <v>198</v>
      </c>
      <c r="E82" s="186" t="s">
        <v>185</v>
      </c>
      <c r="F82" s="186">
        <v>0.05</v>
      </c>
      <c r="G82" s="188">
        <v>4320</v>
      </c>
      <c r="H82" s="188">
        <f t="shared" si="8"/>
        <v>216</v>
      </c>
      <c r="I82" s="188"/>
      <c r="J82" s="188"/>
      <c r="K82" s="188">
        <f t="shared" si="5"/>
        <v>0</v>
      </c>
      <c r="L82" s="176"/>
      <c r="M82" s="284">
        <v>0</v>
      </c>
      <c r="N82" s="284" t="e">
        <f t="shared" si="6"/>
        <v>#DIV/0!</v>
      </c>
    </row>
    <row r="83" spans="1:14" s="284" customFormat="1" ht="21" hidden="1" customHeight="1" x14ac:dyDescent="0.35">
      <c r="A83" s="184"/>
      <c r="B83" s="189"/>
      <c r="C83" s="186"/>
      <c r="D83" s="187" t="s">
        <v>219</v>
      </c>
      <c r="E83" s="186" t="s">
        <v>201</v>
      </c>
      <c r="F83" s="186">
        <v>0.1</v>
      </c>
      <c r="G83" s="188">
        <f>29876/120</f>
        <v>248.96666666666667</v>
      </c>
      <c r="H83" s="188">
        <f t="shared" si="8"/>
        <v>24.896666666666668</v>
      </c>
      <c r="I83" s="188"/>
      <c r="J83" s="188"/>
      <c r="K83" s="188">
        <f t="shared" si="5"/>
        <v>0</v>
      </c>
      <c r="L83" s="176"/>
      <c r="M83" s="284">
        <v>0</v>
      </c>
      <c r="N83" s="284" t="e">
        <f t="shared" si="6"/>
        <v>#DIV/0!</v>
      </c>
    </row>
    <row r="84" spans="1:14" s="284" customFormat="1" ht="37.5" hidden="1" customHeight="1" x14ac:dyDescent="0.35">
      <c r="A84" s="184"/>
      <c r="B84" s="189"/>
      <c r="C84" s="186"/>
      <c r="D84" s="187" t="s">
        <v>196</v>
      </c>
      <c r="E84" s="186" t="s">
        <v>185</v>
      </c>
      <c r="F84" s="186">
        <v>0.1</v>
      </c>
      <c r="G84" s="188">
        <v>8400</v>
      </c>
      <c r="H84" s="188">
        <f t="shared" si="8"/>
        <v>840</v>
      </c>
      <c r="I84" s="188"/>
      <c r="J84" s="188"/>
      <c r="K84" s="188">
        <f t="shared" si="5"/>
        <v>0</v>
      </c>
      <c r="L84" s="176"/>
      <c r="M84" s="284">
        <v>0</v>
      </c>
      <c r="N84" s="284" t="e">
        <f t="shared" si="6"/>
        <v>#DIV/0!</v>
      </c>
    </row>
    <row r="85" spans="1:14" s="284" customFormat="1" ht="18" hidden="1" x14ac:dyDescent="0.35">
      <c r="A85" s="184"/>
      <c r="B85" s="189"/>
      <c r="C85" s="186"/>
      <c r="D85" s="187" t="s">
        <v>194</v>
      </c>
      <c r="E85" s="186" t="s">
        <v>185</v>
      </c>
      <c r="F85" s="186">
        <v>0.1</v>
      </c>
      <c r="G85" s="188">
        <v>10270</v>
      </c>
      <c r="H85" s="188">
        <f t="shared" si="8"/>
        <v>1027</v>
      </c>
      <c r="I85" s="188"/>
      <c r="J85" s="188"/>
      <c r="K85" s="188">
        <f t="shared" si="5"/>
        <v>0</v>
      </c>
      <c r="L85" s="176"/>
      <c r="M85" s="284">
        <v>0</v>
      </c>
      <c r="N85" s="284" t="e">
        <f t="shared" si="6"/>
        <v>#DIV/0!</v>
      </c>
    </row>
    <row r="86" spans="1:14" s="284" customFormat="1" ht="18" hidden="1" x14ac:dyDescent="0.35">
      <c r="A86" s="184"/>
      <c r="B86" s="189"/>
      <c r="C86" s="186"/>
      <c r="D86" s="187" t="s">
        <v>210</v>
      </c>
      <c r="E86" s="186" t="s">
        <v>185</v>
      </c>
      <c r="F86" s="186">
        <v>0.1</v>
      </c>
      <c r="G86" s="188">
        <v>9304</v>
      </c>
      <c r="H86" s="188">
        <f t="shared" si="8"/>
        <v>930.40000000000009</v>
      </c>
      <c r="I86" s="188"/>
      <c r="J86" s="188"/>
      <c r="K86" s="188">
        <f t="shared" si="5"/>
        <v>0</v>
      </c>
      <c r="L86" s="176"/>
      <c r="M86" s="284">
        <v>0</v>
      </c>
      <c r="N86" s="284" t="e">
        <f t="shared" si="6"/>
        <v>#DIV/0!</v>
      </c>
    </row>
    <row r="87" spans="1:14" s="284" customFormat="1" ht="18" hidden="1" x14ac:dyDescent="0.35">
      <c r="A87" s="184"/>
      <c r="B87" s="189"/>
      <c r="C87" s="186"/>
      <c r="D87" s="187" t="s">
        <v>202</v>
      </c>
      <c r="E87" s="186" t="s">
        <v>192</v>
      </c>
      <c r="F87" s="186">
        <v>1</v>
      </c>
      <c r="G87" s="192">
        <f>G48</f>
        <v>31</v>
      </c>
      <c r="H87" s="188">
        <f t="shared" si="8"/>
        <v>31</v>
      </c>
      <c r="I87" s="188"/>
      <c r="J87" s="188"/>
      <c r="K87" s="188">
        <f t="shared" si="5"/>
        <v>0</v>
      </c>
      <c r="L87" s="176"/>
      <c r="M87" s="284">
        <v>0</v>
      </c>
      <c r="N87" s="284" t="e">
        <f t="shared" si="6"/>
        <v>#DIV/0!</v>
      </c>
    </row>
    <row r="88" spans="1:14" s="201" customFormat="1" ht="90" x14ac:dyDescent="0.35">
      <c r="A88" s="172" t="s">
        <v>77</v>
      </c>
      <c r="B88" s="173" t="s">
        <v>79</v>
      </c>
      <c r="C88" s="174"/>
      <c r="D88" s="178"/>
      <c r="E88" s="174"/>
      <c r="F88" s="174"/>
      <c r="G88" s="176"/>
      <c r="H88" s="176"/>
      <c r="I88" s="176"/>
      <c r="J88" s="176"/>
      <c r="K88" s="176"/>
      <c r="L88" s="176"/>
      <c r="M88" s="200"/>
      <c r="N88" s="284"/>
    </row>
    <row r="89" spans="1:14" s="284" customFormat="1" ht="36" x14ac:dyDescent="0.35">
      <c r="A89" s="172" t="s">
        <v>80</v>
      </c>
      <c r="B89" s="173" t="s">
        <v>81</v>
      </c>
      <c r="C89" s="174" t="s">
        <v>51</v>
      </c>
      <c r="D89" s="178"/>
      <c r="E89" s="174"/>
      <c r="F89" s="174"/>
      <c r="G89" s="176"/>
      <c r="H89" s="176">
        <f>SUM(H90:H93)</f>
        <v>3945.8</v>
      </c>
      <c r="I89" s="177">
        <v>0.4</v>
      </c>
      <c r="J89" s="177">
        <v>2.09</v>
      </c>
      <c r="K89" s="177">
        <f t="shared" ref="K89:K119" si="9">J89+I89</f>
        <v>2.4899999999999998</v>
      </c>
      <c r="L89" s="176">
        <v>12800</v>
      </c>
      <c r="M89" s="176">
        <v>24900</v>
      </c>
      <c r="N89" s="284">
        <f>K89/M89*100</f>
        <v>9.9999999999999985E-3</v>
      </c>
    </row>
    <row r="90" spans="1:14" s="284" customFormat="1" ht="18" hidden="1" x14ac:dyDescent="0.35">
      <c r="A90" s="172"/>
      <c r="B90" s="170"/>
      <c r="C90" s="174"/>
      <c r="D90" s="178" t="s">
        <v>194</v>
      </c>
      <c r="E90" s="174" t="s">
        <v>185</v>
      </c>
      <c r="F90" s="174">
        <v>0.2</v>
      </c>
      <c r="G90" s="176">
        <v>10270</v>
      </c>
      <c r="H90" s="176">
        <f>G90*F90</f>
        <v>2054</v>
      </c>
      <c r="I90" s="177"/>
      <c r="J90" s="177"/>
      <c r="K90" s="177">
        <f t="shared" si="9"/>
        <v>0</v>
      </c>
      <c r="L90" s="176"/>
      <c r="M90" s="176"/>
    </row>
    <row r="91" spans="1:14" s="284" customFormat="1" ht="18" hidden="1" x14ac:dyDescent="0.35">
      <c r="A91" s="172"/>
      <c r="B91" s="170"/>
      <c r="C91" s="174"/>
      <c r="D91" s="178" t="s">
        <v>210</v>
      </c>
      <c r="E91" s="174" t="s">
        <v>185</v>
      </c>
      <c r="F91" s="174">
        <v>0.2</v>
      </c>
      <c r="G91" s="176">
        <v>9304</v>
      </c>
      <c r="H91" s="176">
        <f>G91*F91</f>
        <v>1860.8000000000002</v>
      </c>
      <c r="I91" s="177"/>
      <c r="J91" s="177"/>
      <c r="K91" s="177">
        <f t="shared" si="9"/>
        <v>0</v>
      </c>
      <c r="L91" s="176"/>
      <c r="M91" s="176"/>
    </row>
    <row r="92" spans="1:14" s="284" customFormat="1" ht="23.25" hidden="1" customHeight="1" x14ac:dyDescent="0.35">
      <c r="A92" s="172"/>
      <c r="B92" s="170"/>
      <c r="C92" s="174"/>
      <c r="D92" s="178" t="s">
        <v>208</v>
      </c>
      <c r="E92" s="174" t="s">
        <v>185</v>
      </c>
      <c r="F92" s="174" t="s">
        <v>209</v>
      </c>
      <c r="G92" s="176">
        <v>0</v>
      </c>
      <c r="H92" s="176"/>
      <c r="I92" s="177"/>
      <c r="J92" s="177"/>
      <c r="K92" s="177">
        <f t="shared" si="9"/>
        <v>0</v>
      </c>
      <c r="L92" s="176"/>
      <c r="M92" s="176"/>
    </row>
    <row r="93" spans="1:14" s="284" customFormat="1" ht="18" hidden="1" x14ac:dyDescent="0.35">
      <c r="A93" s="172"/>
      <c r="B93" s="170"/>
      <c r="C93" s="174"/>
      <c r="D93" s="178" t="s">
        <v>202</v>
      </c>
      <c r="E93" s="174" t="s">
        <v>192</v>
      </c>
      <c r="F93" s="174">
        <v>1</v>
      </c>
      <c r="G93" s="192">
        <f>G48</f>
        <v>31</v>
      </c>
      <c r="H93" s="176">
        <f>G93*F93</f>
        <v>31</v>
      </c>
      <c r="I93" s="177"/>
      <c r="J93" s="177"/>
      <c r="K93" s="177">
        <f t="shared" si="9"/>
        <v>0</v>
      </c>
      <c r="L93" s="176"/>
      <c r="M93" s="176"/>
    </row>
    <row r="94" spans="1:14" s="284" customFormat="1" ht="36" x14ac:dyDescent="0.35">
      <c r="A94" s="172" t="s">
        <v>82</v>
      </c>
      <c r="B94" s="173" t="s">
        <v>83</v>
      </c>
      <c r="C94" s="174" t="s">
        <v>51</v>
      </c>
      <c r="D94" s="178"/>
      <c r="E94" s="174"/>
      <c r="F94" s="174"/>
      <c r="G94" s="176"/>
      <c r="H94" s="176">
        <f>SUM(H95:H98)</f>
        <v>4924.5</v>
      </c>
      <c r="I94" s="177">
        <v>0.5</v>
      </c>
      <c r="J94" s="177">
        <v>3.13</v>
      </c>
      <c r="K94" s="177">
        <f t="shared" si="9"/>
        <v>3.63</v>
      </c>
      <c r="L94" s="176">
        <v>18250</v>
      </c>
      <c r="M94" s="176">
        <v>36300</v>
      </c>
      <c r="N94" s="284">
        <f>K94/M94*100</f>
        <v>9.9999999999999985E-3</v>
      </c>
    </row>
    <row r="95" spans="1:14" s="284" customFormat="1" ht="18" hidden="1" x14ac:dyDescent="0.35">
      <c r="A95" s="172"/>
      <c r="B95" s="170"/>
      <c r="C95" s="174"/>
      <c r="D95" s="178" t="s">
        <v>194</v>
      </c>
      <c r="E95" s="174" t="s">
        <v>185</v>
      </c>
      <c r="F95" s="174">
        <v>0.25</v>
      </c>
      <c r="G95" s="176">
        <v>10270</v>
      </c>
      <c r="H95" s="176">
        <f>G95*F95</f>
        <v>2567.5</v>
      </c>
      <c r="I95" s="177"/>
      <c r="J95" s="177"/>
      <c r="K95" s="177">
        <f t="shared" si="9"/>
        <v>0</v>
      </c>
      <c r="L95" s="176"/>
      <c r="M95" s="176"/>
    </row>
    <row r="96" spans="1:14" s="284" customFormat="1" ht="18" hidden="1" x14ac:dyDescent="0.35">
      <c r="A96" s="172"/>
      <c r="B96" s="170"/>
      <c r="C96" s="174"/>
      <c r="D96" s="178" t="s">
        <v>210</v>
      </c>
      <c r="E96" s="174" t="s">
        <v>185</v>
      </c>
      <c r="F96" s="174">
        <v>0.25</v>
      </c>
      <c r="G96" s="176">
        <v>9304</v>
      </c>
      <c r="H96" s="176">
        <f>G96*F96</f>
        <v>2326</v>
      </c>
      <c r="I96" s="177"/>
      <c r="J96" s="177"/>
      <c r="K96" s="177">
        <f t="shared" si="9"/>
        <v>0</v>
      </c>
      <c r="L96" s="176"/>
      <c r="M96" s="176"/>
    </row>
    <row r="97" spans="1:14" s="284" customFormat="1" ht="18" hidden="1" x14ac:dyDescent="0.35">
      <c r="A97" s="172"/>
      <c r="B97" s="170"/>
      <c r="C97" s="174"/>
      <c r="D97" s="178" t="s">
        <v>208</v>
      </c>
      <c r="E97" s="174" t="s">
        <v>185</v>
      </c>
      <c r="F97" s="174" t="s">
        <v>221</v>
      </c>
      <c r="G97" s="176">
        <v>0</v>
      </c>
      <c r="H97" s="176"/>
      <c r="I97" s="177"/>
      <c r="J97" s="177"/>
      <c r="K97" s="177">
        <f t="shared" si="9"/>
        <v>0</v>
      </c>
      <c r="L97" s="176"/>
      <c r="M97" s="176"/>
    </row>
    <row r="98" spans="1:14" s="284" customFormat="1" ht="18" hidden="1" x14ac:dyDescent="0.35">
      <c r="A98" s="172"/>
      <c r="B98" s="170"/>
      <c r="C98" s="174"/>
      <c r="D98" s="178" t="s">
        <v>202</v>
      </c>
      <c r="E98" s="174" t="s">
        <v>192</v>
      </c>
      <c r="F98" s="174">
        <v>1</v>
      </c>
      <c r="G98" s="192">
        <f>G48</f>
        <v>31</v>
      </c>
      <c r="H98" s="176">
        <f>G98*F98</f>
        <v>31</v>
      </c>
      <c r="I98" s="177"/>
      <c r="J98" s="177"/>
      <c r="K98" s="177">
        <f t="shared" si="9"/>
        <v>0</v>
      </c>
      <c r="L98" s="176"/>
      <c r="M98" s="176"/>
    </row>
    <row r="99" spans="1:14" s="284" customFormat="1" ht="36" x14ac:dyDescent="0.35">
      <c r="A99" s="172" t="s">
        <v>84</v>
      </c>
      <c r="B99" s="173" t="s">
        <v>85</v>
      </c>
      <c r="C99" s="174" t="s">
        <v>51</v>
      </c>
      <c r="D99" s="178"/>
      <c r="E99" s="174"/>
      <c r="F99" s="174"/>
      <c r="G99" s="176"/>
      <c r="H99" s="176">
        <f>SUM(H100:H103)</f>
        <v>6555.0141999999996</v>
      </c>
      <c r="I99" s="177">
        <v>0.66</v>
      </c>
      <c r="J99" s="177">
        <v>4.6900000000000004</v>
      </c>
      <c r="K99" s="177">
        <f t="shared" si="9"/>
        <v>5.3500000000000005</v>
      </c>
      <c r="L99" s="176">
        <v>26600</v>
      </c>
      <c r="M99" s="176">
        <v>53500</v>
      </c>
      <c r="N99" s="284">
        <f>K99/M99*100</f>
        <v>0.01</v>
      </c>
    </row>
    <row r="100" spans="1:14" s="284" customFormat="1" ht="18" hidden="1" x14ac:dyDescent="0.35">
      <c r="A100" s="172"/>
      <c r="B100" s="170"/>
      <c r="C100" s="174"/>
      <c r="D100" s="178" t="s">
        <v>194</v>
      </c>
      <c r="E100" s="174" t="s">
        <v>185</v>
      </c>
      <c r="F100" s="174">
        <v>0.33329999999999999</v>
      </c>
      <c r="G100" s="176">
        <v>10270</v>
      </c>
      <c r="H100" s="176">
        <f>G100*F100</f>
        <v>3422.991</v>
      </c>
      <c r="I100" s="177"/>
      <c r="J100" s="177"/>
      <c r="K100" s="177">
        <f t="shared" si="9"/>
        <v>0</v>
      </c>
      <c r="L100" s="176"/>
      <c r="M100" s="176"/>
    </row>
    <row r="101" spans="1:14" s="284" customFormat="1" ht="18" hidden="1" x14ac:dyDescent="0.35">
      <c r="A101" s="172"/>
      <c r="B101" s="170"/>
      <c r="C101" s="174"/>
      <c r="D101" s="178" t="s">
        <v>210</v>
      </c>
      <c r="E101" s="174" t="s">
        <v>185</v>
      </c>
      <c r="F101" s="174">
        <v>0.33329999999999999</v>
      </c>
      <c r="G101" s="176">
        <v>9304</v>
      </c>
      <c r="H101" s="176">
        <f>G101*F101</f>
        <v>3101.0232000000001</v>
      </c>
      <c r="I101" s="177"/>
      <c r="J101" s="177"/>
      <c r="K101" s="177">
        <f t="shared" si="9"/>
        <v>0</v>
      </c>
      <c r="L101" s="176"/>
      <c r="M101" s="176"/>
    </row>
    <row r="102" spans="1:14" s="284" customFormat="1" ht="18" hidden="1" x14ac:dyDescent="0.35">
      <c r="A102" s="172"/>
      <c r="B102" s="170"/>
      <c r="C102" s="174"/>
      <c r="D102" s="178" t="s">
        <v>208</v>
      </c>
      <c r="E102" s="174" t="s">
        <v>185</v>
      </c>
      <c r="F102" s="174" t="s">
        <v>221</v>
      </c>
      <c r="G102" s="176">
        <v>0</v>
      </c>
      <c r="H102" s="176"/>
      <c r="I102" s="177"/>
      <c r="J102" s="177"/>
      <c r="K102" s="177">
        <f t="shared" si="9"/>
        <v>0</v>
      </c>
      <c r="L102" s="176"/>
      <c r="M102" s="176"/>
    </row>
    <row r="103" spans="1:14" s="284" customFormat="1" ht="18" hidden="1" x14ac:dyDescent="0.35">
      <c r="A103" s="172"/>
      <c r="B103" s="170"/>
      <c r="C103" s="174"/>
      <c r="D103" s="178" t="s">
        <v>202</v>
      </c>
      <c r="E103" s="174" t="s">
        <v>192</v>
      </c>
      <c r="F103" s="174">
        <v>1</v>
      </c>
      <c r="G103" s="192">
        <f>G48</f>
        <v>31</v>
      </c>
      <c r="H103" s="176">
        <f>G103*F103</f>
        <v>31</v>
      </c>
      <c r="I103" s="177"/>
      <c r="J103" s="177"/>
      <c r="K103" s="177">
        <f t="shared" si="9"/>
        <v>0</v>
      </c>
      <c r="L103" s="176"/>
      <c r="M103" s="176"/>
    </row>
    <row r="104" spans="1:14" s="284" customFormat="1" ht="36" x14ac:dyDescent="0.35">
      <c r="A104" s="172" t="s">
        <v>86</v>
      </c>
      <c r="B104" s="173" t="s">
        <v>87</v>
      </c>
      <c r="C104" s="174" t="s">
        <v>51</v>
      </c>
      <c r="D104" s="178"/>
      <c r="E104" s="174"/>
      <c r="F104" s="174"/>
      <c r="G104" s="176"/>
      <c r="H104" s="176">
        <f>SUM(H105:H108)</f>
        <v>9818</v>
      </c>
      <c r="I104" s="177">
        <v>0.98</v>
      </c>
      <c r="J104" s="177">
        <v>6</v>
      </c>
      <c r="K104" s="177">
        <f t="shared" si="9"/>
        <v>6.98</v>
      </c>
      <c r="L104" s="176">
        <v>35360</v>
      </c>
      <c r="M104" s="176">
        <v>69800</v>
      </c>
      <c r="N104" s="284">
        <f>K104/M104*100</f>
        <v>0.01</v>
      </c>
    </row>
    <row r="105" spans="1:14" s="284" customFormat="1" ht="18" hidden="1" x14ac:dyDescent="0.35">
      <c r="A105" s="172"/>
      <c r="B105" s="170"/>
      <c r="C105" s="174"/>
      <c r="D105" s="178" t="s">
        <v>194</v>
      </c>
      <c r="E105" s="174" t="s">
        <v>185</v>
      </c>
      <c r="F105" s="174">
        <v>0.5</v>
      </c>
      <c r="G105" s="176">
        <v>10270</v>
      </c>
      <c r="H105" s="176">
        <f>G105*F105</f>
        <v>5135</v>
      </c>
      <c r="I105" s="177"/>
      <c r="J105" s="177"/>
      <c r="K105" s="177">
        <f t="shared" si="9"/>
        <v>0</v>
      </c>
      <c r="L105" s="176"/>
      <c r="M105" s="176"/>
    </row>
    <row r="106" spans="1:14" s="284" customFormat="1" ht="18" hidden="1" x14ac:dyDescent="0.35">
      <c r="A106" s="172"/>
      <c r="B106" s="170"/>
      <c r="C106" s="174"/>
      <c r="D106" s="178" t="s">
        <v>210</v>
      </c>
      <c r="E106" s="174" t="s">
        <v>185</v>
      </c>
      <c r="F106" s="174">
        <v>0.5</v>
      </c>
      <c r="G106" s="176">
        <v>9304</v>
      </c>
      <c r="H106" s="176">
        <f>G106*F106</f>
        <v>4652</v>
      </c>
      <c r="I106" s="177"/>
      <c r="J106" s="177"/>
      <c r="K106" s="177">
        <f t="shared" si="9"/>
        <v>0</v>
      </c>
      <c r="L106" s="176"/>
      <c r="M106" s="176"/>
    </row>
    <row r="107" spans="1:14" s="284" customFormat="1" ht="18" hidden="1" x14ac:dyDescent="0.35">
      <c r="A107" s="172"/>
      <c r="B107" s="170"/>
      <c r="C107" s="174"/>
      <c r="D107" s="178" t="s">
        <v>208</v>
      </c>
      <c r="E107" s="174" t="s">
        <v>185</v>
      </c>
      <c r="F107" s="174" t="s">
        <v>222</v>
      </c>
      <c r="G107" s="176">
        <v>0</v>
      </c>
      <c r="H107" s="176"/>
      <c r="I107" s="177"/>
      <c r="J107" s="177"/>
      <c r="K107" s="177">
        <f t="shared" si="9"/>
        <v>0</v>
      </c>
      <c r="L107" s="176"/>
      <c r="M107" s="176"/>
    </row>
    <row r="108" spans="1:14" s="284" customFormat="1" ht="18" hidden="1" x14ac:dyDescent="0.35">
      <c r="A108" s="172"/>
      <c r="B108" s="170"/>
      <c r="C108" s="174"/>
      <c r="D108" s="178" t="s">
        <v>202</v>
      </c>
      <c r="E108" s="174" t="s">
        <v>192</v>
      </c>
      <c r="F108" s="174">
        <v>1</v>
      </c>
      <c r="G108" s="192">
        <f>G48</f>
        <v>31</v>
      </c>
      <c r="H108" s="176">
        <f>G108*F108</f>
        <v>31</v>
      </c>
      <c r="I108" s="177"/>
      <c r="J108" s="177"/>
      <c r="K108" s="177">
        <f t="shared" si="9"/>
        <v>0</v>
      </c>
      <c r="L108" s="176"/>
      <c r="M108" s="176"/>
    </row>
    <row r="109" spans="1:14" s="284" customFormat="1" ht="36" hidden="1" x14ac:dyDescent="0.35">
      <c r="A109" s="172" t="s">
        <v>78</v>
      </c>
      <c r="B109" s="173" t="s">
        <v>88</v>
      </c>
      <c r="C109" s="202" t="s">
        <v>89</v>
      </c>
      <c r="D109" s="203" t="s">
        <v>223</v>
      </c>
      <c r="E109" s="174"/>
      <c r="F109" s="174"/>
      <c r="G109" s="176"/>
      <c r="H109" s="204">
        <f>H111+H110</f>
        <v>21.548750000000002</v>
      </c>
      <c r="I109" s="177"/>
      <c r="J109" s="177">
        <v>2.0699999999999998</v>
      </c>
      <c r="K109" s="177">
        <f t="shared" si="9"/>
        <v>2.0699999999999998</v>
      </c>
      <c r="L109" s="176">
        <v>9070</v>
      </c>
      <c r="M109" s="176">
        <v>20700</v>
      </c>
      <c r="N109" s="284">
        <f>K109/M109*100</f>
        <v>9.9999999999999985E-3</v>
      </c>
    </row>
    <row r="110" spans="1:14" s="284" customFormat="1" ht="18" hidden="1" x14ac:dyDescent="0.35">
      <c r="A110" s="172"/>
      <c r="B110" s="170"/>
      <c r="C110" s="174"/>
      <c r="D110" s="178" t="s">
        <v>224</v>
      </c>
      <c r="E110" s="174" t="s">
        <v>201</v>
      </c>
      <c r="F110" s="174">
        <v>0.3</v>
      </c>
      <c r="G110" s="176">
        <f>11114/160</f>
        <v>69.462500000000006</v>
      </c>
      <c r="H110" s="176">
        <f>G110*F110</f>
        <v>20.838750000000001</v>
      </c>
      <c r="I110" s="177"/>
      <c r="J110" s="177"/>
      <c r="K110" s="177">
        <f t="shared" si="9"/>
        <v>0</v>
      </c>
      <c r="L110" s="176"/>
      <c r="M110" s="176"/>
    </row>
    <row r="111" spans="1:14" s="284" customFormat="1" ht="31.8" hidden="1" x14ac:dyDescent="0.35">
      <c r="A111" s="172"/>
      <c r="B111" s="170"/>
      <c r="C111" s="174"/>
      <c r="D111" s="178" t="s">
        <v>225</v>
      </c>
      <c r="E111" s="174" t="s">
        <v>185</v>
      </c>
      <c r="F111" s="174">
        <v>1E-3</v>
      </c>
      <c r="G111" s="176">
        <v>710</v>
      </c>
      <c r="H111" s="298">
        <f>G111*F111</f>
        <v>0.71</v>
      </c>
      <c r="I111" s="299"/>
      <c r="J111" s="177"/>
      <c r="K111" s="177">
        <f t="shared" si="9"/>
        <v>0</v>
      </c>
      <c r="L111" s="176"/>
      <c r="M111" s="176"/>
    </row>
    <row r="112" spans="1:14" s="284" customFormat="1" ht="41.4" customHeight="1" x14ac:dyDescent="0.35">
      <c r="A112" s="419" t="s">
        <v>78</v>
      </c>
      <c r="B112" s="422" t="s">
        <v>91</v>
      </c>
      <c r="C112" s="56" t="s">
        <v>230</v>
      </c>
      <c r="D112" s="57" t="s">
        <v>226</v>
      </c>
      <c r="E112" s="31"/>
      <c r="F112" s="31"/>
      <c r="G112" s="33"/>
      <c r="H112" s="33">
        <v>1846.9399999999998</v>
      </c>
      <c r="I112" s="153">
        <v>0.15</v>
      </c>
      <c r="J112" s="177">
        <v>2.61</v>
      </c>
      <c r="K112" s="177">
        <f t="shared" si="9"/>
        <v>2.76</v>
      </c>
      <c r="L112" s="176">
        <v>4000</v>
      </c>
      <c r="M112" s="176">
        <v>27600</v>
      </c>
      <c r="N112" s="284">
        <f>K112/M112*100</f>
        <v>9.9999999999999985E-3</v>
      </c>
    </row>
    <row r="113" spans="1:14" s="284" customFormat="1" ht="33.6" customHeight="1" x14ac:dyDescent="0.35">
      <c r="A113" s="420"/>
      <c r="B113" s="423"/>
      <c r="C113" s="300" t="s">
        <v>446</v>
      </c>
      <c r="D113" s="34" t="s">
        <v>227</v>
      </c>
      <c r="E113" s="31" t="s">
        <v>201</v>
      </c>
      <c r="F113" s="31">
        <v>0.3</v>
      </c>
      <c r="G113" s="33">
        <v>6156.4666666666662</v>
      </c>
      <c r="H113" s="33">
        <v>1846.9399999999998</v>
      </c>
      <c r="I113" s="153">
        <v>0.96</v>
      </c>
      <c r="J113" s="177">
        <v>2.61</v>
      </c>
      <c r="K113" s="177">
        <f t="shared" si="9"/>
        <v>3.57</v>
      </c>
      <c r="L113" s="176"/>
      <c r="M113" s="176"/>
    </row>
    <row r="114" spans="1:14" s="284" customFormat="1" ht="30.6" customHeight="1" x14ac:dyDescent="0.35">
      <c r="A114" s="420"/>
      <c r="B114" s="423"/>
      <c r="C114" s="59" t="s">
        <v>228</v>
      </c>
      <c r="D114" s="60" t="s">
        <v>229</v>
      </c>
      <c r="E114" s="38"/>
      <c r="F114" s="38"/>
      <c r="G114" s="61"/>
      <c r="H114" s="33">
        <v>8061.5519999999997</v>
      </c>
      <c r="I114" s="153">
        <v>0.81</v>
      </c>
      <c r="J114" s="177">
        <v>2.61</v>
      </c>
      <c r="K114" s="177">
        <f t="shared" si="9"/>
        <v>3.42</v>
      </c>
      <c r="L114" s="176"/>
      <c r="M114" s="176">
        <v>34200</v>
      </c>
      <c r="N114" s="284">
        <f>K114/M114*100</f>
        <v>9.9999999999999985E-3</v>
      </c>
    </row>
    <row r="115" spans="1:14" s="284" customFormat="1" ht="35.4" x14ac:dyDescent="0.35">
      <c r="A115" s="421"/>
      <c r="B115" s="424"/>
      <c r="C115" s="300" t="s">
        <v>447</v>
      </c>
      <c r="D115" s="39" t="s">
        <v>227</v>
      </c>
      <c r="E115" s="38" t="s">
        <v>201</v>
      </c>
      <c r="F115" s="38">
        <v>0.3</v>
      </c>
      <c r="G115" s="35">
        <v>26871.84</v>
      </c>
      <c r="H115" s="33">
        <v>8061.5519999999997</v>
      </c>
      <c r="I115" s="153">
        <v>0.4</v>
      </c>
      <c r="J115" s="177">
        <v>2.61</v>
      </c>
      <c r="K115" s="177">
        <f t="shared" si="9"/>
        <v>3.01</v>
      </c>
      <c r="L115" s="176"/>
      <c r="M115" s="176"/>
    </row>
    <row r="116" spans="1:14" s="284" customFormat="1" ht="38.25" hidden="1" customHeight="1" x14ac:dyDescent="0.35">
      <c r="A116" s="184"/>
      <c r="B116" s="189"/>
      <c r="C116" s="198" t="s">
        <v>230</v>
      </c>
      <c r="D116" s="199" t="s">
        <v>231</v>
      </c>
      <c r="E116" s="186"/>
      <c r="F116" s="186"/>
      <c r="G116" s="188"/>
      <c r="H116" s="188">
        <f>H117</f>
        <v>639.19999999999993</v>
      </c>
      <c r="I116" s="188">
        <v>650</v>
      </c>
      <c r="J116" s="188">
        <f>[2]Лист2!S36</f>
        <v>26100</v>
      </c>
      <c r="K116" s="188">
        <f t="shared" si="9"/>
        <v>26750</v>
      </c>
      <c r="L116" s="176"/>
      <c r="M116" s="176"/>
    </row>
    <row r="117" spans="1:14" s="284" customFormat="1" ht="38.25" hidden="1" customHeight="1" x14ac:dyDescent="0.35">
      <c r="A117" s="184"/>
      <c r="B117" s="189"/>
      <c r="C117" s="186"/>
      <c r="D117" s="187" t="s">
        <v>227</v>
      </c>
      <c r="E117" s="186" t="s">
        <v>201</v>
      </c>
      <c r="F117" s="186">
        <v>0.3</v>
      </c>
      <c r="G117" s="188">
        <f>63920/30</f>
        <v>2130.6666666666665</v>
      </c>
      <c r="H117" s="188">
        <f>G117*F117</f>
        <v>639.19999999999993</v>
      </c>
      <c r="I117" s="188"/>
      <c r="J117" s="188"/>
      <c r="K117" s="188">
        <f t="shared" si="9"/>
        <v>0</v>
      </c>
      <c r="L117" s="176"/>
      <c r="M117" s="176"/>
    </row>
    <row r="118" spans="1:14" s="284" customFormat="1" ht="36" hidden="1" x14ac:dyDescent="0.35">
      <c r="A118" s="184" t="s">
        <v>232</v>
      </c>
      <c r="B118" s="185" t="s">
        <v>233</v>
      </c>
      <c r="C118" s="198" t="s">
        <v>234</v>
      </c>
      <c r="D118" s="199" t="s">
        <v>235</v>
      </c>
      <c r="E118" s="186"/>
      <c r="F118" s="186"/>
      <c r="G118" s="188"/>
      <c r="H118" s="188">
        <f>H119</f>
        <v>227.3125</v>
      </c>
      <c r="I118" s="188">
        <v>250</v>
      </c>
      <c r="J118" s="188">
        <f>[2]Лист2!S38</f>
        <v>20700</v>
      </c>
      <c r="K118" s="188">
        <f t="shared" si="9"/>
        <v>20950</v>
      </c>
      <c r="L118" s="176">
        <v>2140</v>
      </c>
      <c r="M118" s="176"/>
    </row>
    <row r="119" spans="1:14" s="284" customFormat="1" ht="47.4" hidden="1" x14ac:dyDescent="0.35">
      <c r="A119" s="184"/>
      <c r="B119" s="189"/>
      <c r="C119" s="186"/>
      <c r="D119" s="187" t="s">
        <v>236</v>
      </c>
      <c r="E119" s="186" t="s">
        <v>201</v>
      </c>
      <c r="F119" s="186">
        <v>0.1</v>
      </c>
      <c r="G119" s="188">
        <f>18185/8</f>
        <v>2273.125</v>
      </c>
      <c r="H119" s="188">
        <f>G119*F119</f>
        <v>227.3125</v>
      </c>
      <c r="I119" s="188"/>
      <c r="J119" s="188"/>
      <c r="K119" s="188">
        <f t="shared" si="9"/>
        <v>0</v>
      </c>
      <c r="L119" s="176"/>
      <c r="M119" s="176"/>
    </row>
    <row r="120" spans="1:14" s="201" customFormat="1" ht="18" x14ac:dyDescent="0.25">
      <c r="A120" s="172" t="s">
        <v>90</v>
      </c>
      <c r="B120" s="425" t="s">
        <v>93</v>
      </c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7"/>
      <c r="N120" s="284"/>
    </row>
    <row r="121" spans="1:14" s="284" customFormat="1" ht="36" x14ac:dyDescent="0.35">
      <c r="A121" s="172" t="s">
        <v>448</v>
      </c>
      <c r="B121" s="173" t="s">
        <v>95</v>
      </c>
      <c r="C121" s="174" t="s">
        <v>51</v>
      </c>
      <c r="D121" s="175"/>
      <c r="E121" s="174"/>
      <c r="F121" s="174"/>
      <c r="G121" s="176"/>
      <c r="H121" s="176">
        <f>SUM(H122:H125)</f>
        <v>4924.5</v>
      </c>
      <c r="I121" s="177">
        <v>0.49</v>
      </c>
      <c r="J121" s="177">
        <v>3.13</v>
      </c>
      <c r="K121" s="177">
        <f t="shared" ref="K121:K169" si="10">J121+I121</f>
        <v>3.62</v>
      </c>
      <c r="L121" s="176">
        <v>12100</v>
      </c>
      <c r="M121" s="176">
        <v>36200</v>
      </c>
      <c r="N121" s="284">
        <f>K121/M121*100</f>
        <v>0.01</v>
      </c>
    </row>
    <row r="122" spans="1:14" s="284" customFormat="1" ht="18" hidden="1" x14ac:dyDescent="0.35">
      <c r="A122" s="172"/>
      <c r="B122" s="170"/>
      <c r="C122" s="174"/>
      <c r="D122" s="178" t="s">
        <v>194</v>
      </c>
      <c r="E122" s="174" t="s">
        <v>185</v>
      </c>
      <c r="F122" s="174">
        <v>0.25</v>
      </c>
      <c r="G122" s="176">
        <v>10270</v>
      </c>
      <c r="H122" s="176">
        <f>G122*F122</f>
        <v>2567.5</v>
      </c>
      <c r="I122" s="177"/>
      <c r="J122" s="177"/>
      <c r="K122" s="177">
        <f t="shared" si="10"/>
        <v>0</v>
      </c>
      <c r="L122" s="176"/>
      <c r="M122" s="176"/>
    </row>
    <row r="123" spans="1:14" s="284" customFormat="1" ht="18" hidden="1" x14ac:dyDescent="0.35">
      <c r="A123" s="172"/>
      <c r="B123" s="170"/>
      <c r="C123" s="174"/>
      <c r="D123" s="178" t="s">
        <v>210</v>
      </c>
      <c r="E123" s="174" t="s">
        <v>185</v>
      </c>
      <c r="F123" s="174">
        <v>0.25</v>
      </c>
      <c r="G123" s="176">
        <v>9304</v>
      </c>
      <c r="H123" s="176">
        <f>G123*F123</f>
        <v>2326</v>
      </c>
      <c r="I123" s="177"/>
      <c r="J123" s="177"/>
      <c r="K123" s="177">
        <f t="shared" si="10"/>
        <v>0</v>
      </c>
      <c r="L123" s="176"/>
      <c r="M123" s="176"/>
    </row>
    <row r="124" spans="1:14" s="284" customFormat="1" ht="18" hidden="1" x14ac:dyDescent="0.35">
      <c r="A124" s="172"/>
      <c r="B124" s="170"/>
      <c r="C124" s="174"/>
      <c r="D124" s="178" t="s">
        <v>208</v>
      </c>
      <c r="E124" s="174" t="s">
        <v>185</v>
      </c>
      <c r="F124" s="174">
        <v>0.25</v>
      </c>
      <c r="G124" s="176">
        <v>0</v>
      </c>
      <c r="H124" s="176"/>
      <c r="I124" s="177"/>
      <c r="J124" s="177"/>
      <c r="K124" s="177">
        <f t="shared" si="10"/>
        <v>0</v>
      </c>
      <c r="L124" s="176"/>
      <c r="M124" s="176"/>
    </row>
    <row r="125" spans="1:14" s="284" customFormat="1" ht="18" hidden="1" x14ac:dyDescent="0.35">
      <c r="A125" s="172"/>
      <c r="B125" s="170"/>
      <c r="C125" s="174"/>
      <c r="D125" s="178" t="s">
        <v>202</v>
      </c>
      <c r="E125" s="174" t="s">
        <v>192</v>
      </c>
      <c r="F125" s="174">
        <v>1</v>
      </c>
      <c r="G125" s="192">
        <f>G48</f>
        <v>31</v>
      </c>
      <c r="H125" s="176">
        <f>G125*F125</f>
        <v>31</v>
      </c>
      <c r="I125" s="177"/>
      <c r="J125" s="177"/>
      <c r="K125" s="177">
        <f t="shared" si="10"/>
        <v>0</v>
      </c>
      <c r="L125" s="176"/>
      <c r="M125" s="176"/>
    </row>
    <row r="126" spans="1:14" s="284" customFormat="1" ht="36" x14ac:dyDescent="0.35">
      <c r="A126" s="172" t="s">
        <v>449</v>
      </c>
      <c r="B126" s="173" t="s">
        <v>97</v>
      </c>
      <c r="C126" s="174" t="s">
        <v>51</v>
      </c>
      <c r="D126" s="178"/>
      <c r="E126" s="174"/>
      <c r="F126" s="174"/>
      <c r="G126" s="176"/>
      <c r="H126" s="176">
        <f>H127+H128+H129+H130</f>
        <v>9818</v>
      </c>
      <c r="I126" s="177">
        <v>0.98</v>
      </c>
      <c r="J126" s="177">
        <v>4.6900000000000004</v>
      </c>
      <c r="K126" s="177">
        <f t="shared" si="10"/>
        <v>5.67</v>
      </c>
      <c r="L126" s="176"/>
      <c r="M126" s="176">
        <v>56700</v>
      </c>
      <c r="N126" s="284">
        <f>K126/M126*100</f>
        <v>0.01</v>
      </c>
    </row>
    <row r="127" spans="1:14" s="284" customFormat="1" ht="18" hidden="1" x14ac:dyDescent="0.35">
      <c r="A127" s="172"/>
      <c r="B127" s="170"/>
      <c r="C127" s="174"/>
      <c r="D127" s="178" t="s">
        <v>194</v>
      </c>
      <c r="E127" s="174" t="s">
        <v>185</v>
      </c>
      <c r="F127" s="174">
        <v>0.5</v>
      </c>
      <c r="G127" s="176">
        <v>10270</v>
      </c>
      <c r="H127" s="176">
        <f>G127*F127</f>
        <v>5135</v>
      </c>
      <c r="I127" s="177"/>
      <c r="J127" s="177"/>
      <c r="K127" s="177">
        <f t="shared" si="10"/>
        <v>0</v>
      </c>
      <c r="L127" s="176"/>
      <c r="M127" s="176"/>
    </row>
    <row r="128" spans="1:14" s="284" customFormat="1" ht="18" hidden="1" x14ac:dyDescent="0.35">
      <c r="A128" s="172"/>
      <c r="B128" s="170"/>
      <c r="C128" s="174"/>
      <c r="D128" s="178" t="s">
        <v>210</v>
      </c>
      <c r="E128" s="174" t="s">
        <v>185</v>
      </c>
      <c r="F128" s="174">
        <v>0.5</v>
      </c>
      <c r="G128" s="176">
        <v>9304</v>
      </c>
      <c r="H128" s="176">
        <f>G128*F128</f>
        <v>4652</v>
      </c>
      <c r="I128" s="177"/>
      <c r="J128" s="177"/>
      <c r="K128" s="177">
        <f t="shared" si="10"/>
        <v>0</v>
      </c>
      <c r="L128" s="176"/>
      <c r="M128" s="176"/>
    </row>
    <row r="129" spans="1:14" s="284" customFormat="1" ht="18" hidden="1" x14ac:dyDescent="0.35">
      <c r="A129" s="172"/>
      <c r="B129" s="170"/>
      <c r="C129" s="174"/>
      <c r="D129" s="178" t="s">
        <v>208</v>
      </c>
      <c r="E129" s="174" t="s">
        <v>185</v>
      </c>
      <c r="F129" s="174" t="s">
        <v>222</v>
      </c>
      <c r="G129" s="176">
        <v>0</v>
      </c>
      <c r="H129" s="176"/>
      <c r="I129" s="177"/>
      <c r="J129" s="177"/>
      <c r="K129" s="177">
        <f t="shared" si="10"/>
        <v>0</v>
      </c>
      <c r="L129" s="176"/>
      <c r="M129" s="176"/>
    </row>
    <row r="130" spans="1:14" s="284" customFormat="1" ht="18" hidden="1" x14ac:dyDescent="0.35">
      <c r="A130" s="172"/>
      <c r="B130" s="170"/>
      <c r="C130" s="174"/>
      <c r="D130" s="178" t="s">
        <v>202</v>
      </c>
      <c r="E130" s="174" t="s">
        <v>192</v>
      </c>
      <c r="F130" s="174">
        <v>1</v>
      </c>
      <c r="G130" s="192">
        <f>G48</f>
        <v>31</v>
      </c>
      <c r="H130" s="176">
        <f>G130*F130</f>
        <v>31</v>
      </c>
      <c r="I130" s="177"/>
      <c r="J130" s="177"/>
      <c r="K130" s="177">
        <f t="shared" si="10"/>
        <v>0</v>
      </c>
      <c r="L130" s="176"/>
      <c r="M130" s="176"/>
    </row>
    <row r="131" spans="1:14" s="284" customFormat="1" ht="18" x14ac:dyDescent="0.35">
      <c r="A131" s="172" t="s">
        <v>450</v>
      </c>
      <c r="B131" s="173" t="s">
        <v>99</v>
      </c>
      <c r="C131" s="174" t="s">
        <v>51</v>
      </c>
      <c r="D131" s="178"/>
      <c r="E131" s="174"/>
      <c r="F131" s="174"/>
      <c r="G131" s="176"/>
      <c r="H131" s="176">
        <f>H132</f>
        <v>259.33333333333337</v>
      </c>
      <c r="I131" s="177">
        <v>0.03</v>
      </c>
      <c r="J131" s="177">
        <v>1.04</v>
      </c>
      <c r="K131" s="177">
        <f t="shared" si="10"/>
        <v>1.07</v>
      </c>
      <c r="L131" s="176">
        <v>1790</v>
      </c>
      <c r="M131" s="176">
        <v>10700</v>
      </c>
      <c r="N131" s="284">
        <f>K131/M131*100</f>
        <v>0.01</v>
      </c>
    </row>
    <row r="132" spans="1:14" s="284" customFormat="1" ht="18" hidden="1" x14ac:dyDescent="0.35">
      <c r="A132" s="172"/>
      <c r="B132" s="170"/>
      <c r="C132" s="174"/>
      <c r="D132" s="178" t="s">
        <v>237</v>
      </c>
      <c r="E132" s="174" t="s">
        <v>201</v>
      </c>
      <c r="F132" s="174">
        <v>0.1</v>
      </c>
      <c r="G132" s="176">
        <f>7780/3</f>
        <v>2593.3333333333335</v>
      </c>
      <c r="H132" s="176">
        <f>G132*F132</f>
        <v>259.33333333333337</v>
      </c>
      <c r="I132" s="177"/>
      <c r="J132" s="177"/>
      <c r="K132" s="177">
        <f t="shared" si="10"/>
        <v>0</v>
      </c>
      <c r="L132" s="176"/>
      <c r="M132" s="176"/>
    </row>
    <row r="133" spans="1:14" s="284" customFormat="1" ht="18" x14ac:dyDescent="0.35">
      <c r="A133" s="172" t="s">
        <v>451</v>
      </c>
      <c r="B133" s="173" t="s">
        <v>101</v>
      </c>
      <c r="C133" s="174" t="s">
        <v>51</v>
      </c>
      <c r="D133" s="178"/>
      <c r="E133" s="174"/>
      <c r="F133" s="174"/>
      <c r="G133" s="176"/>
      <c r="H133" s="176">
        <f>H134</f>
        <v>31</v>
      </c>
      <c r="I133" s="177"/>
      <c r="J133" s="177">
        <v>0.78</v>
      </c>
      <c r="K133" s="177">
        <f t="shared" si="10"/>
        <v>0.78</v>
      </c>
      <c r="L133" s="176">
        <v>1160</v>
      </c>
      <c r="M133" s="176">
        <v>7800</v>
      </c>
      <c r="N133" s="284">
        <f>K133/M133*100</f>
        <v>0.01</v>
      </c>
    </row>
    <row r="134" spans="1:14" s="284" customFormat="1" ht="18" hidden="1" x14ac:dyDescent="0.35">
      <c r="A134" s="172"/>
      <c r="B134" s="170"/>
      <c r="C134" s="174" t="s">
        <v>51</v>
      </c>
      <c r="D134" s="178" t="s">
        <v>202</v>
      </c>
      <c r="E134" s="174" t="s">
        <v>192</v>
      </c>
      <c r="F134" s="174">
        <v>1</v>
      </c>
      <c r="G134" s="192">
        <f>G48</f>
        <v>31</v>
      </c>
      <c r="H134" s="176">
        <f>G134*F134</f>
        <v>31</v>
      </c>
      <c r="I134" s="177"/>
      <c r="J134" s="177"/>
      <c r="K134" s="177">
        <f t="shared" si="10"/>
        <v>0</v>
      </c>
      <c r="L134" s="176"/>
      <c r="M134" s="176"/>
    </row>
    <row r="135" spans="1:14" s="284" customFormat="1" ht="36" x14ac:dyDescent="0.35">
      <c r="A135" s="172" t="s">
        <v>452</v>
      </c>
      <c r="B135" s="207" t="s">
        <v>103</v>
      </c>
      <c r="C135" s="174" t="s">
        <v>51</v>
      </c>
      <c r="D135" s="178"/>
      <c r="E135" s="174"/>
      <c r="F135" s="174"/>
      <c r="G135" s="176"/>
      <c r="H135" s="176">
        <f>H136+H137+H138+H139</f>
        <v>12183.266666666666</v>
      </c>
      <c r="I135" s="177">
        <v>1.22</v>
      </c>
      <c r="J135" s="177">
        <v>2.7</v>
      </c>
      <c r="K135" s="177">
        <f t="shared" si="10"/>
        <v>3.92</v>
      </c>
      <c r="L135" s="176"/>
      <c r="M135" s="176">
        <v>39200</v>
      </c>
      <c r="N135" s="284">
        <f>K135/M135*100</f>
        <v>0.01</v>
      </c>
    </row>
    <row r="136" spans="1:14" s="284" customFormat="1" ht="63" hidden="1" x14ac:dyDescent="0.35">
      <c r="A136" s="172"/>
      <c r="B136" s="207"/>
      <c r="C136" s="174" t="s">
        <v>51</v>
      </c>
      <c r="D136" s="178" t="s">
        <v>238</v>
      </c>
      <c r="E136" s="174" t="s">
        <v>185</v>
      </c>
      <c r="F136" s="174">
        <v>0.4</v>
      </c>
      <c r="G136" s="176">
        <f>41471/6</f>
        <v>6911.833333333333</v>
      </c>
      <c r="H136" s="176">
        <f>G136*F136</f>
        <v>2764.7333333333336</v>
      </c>
      <c r="I136" s="177"/>
      <c r="J136" s="177"/>
      <c r="K136" s="177">
        <f t="shared" si="10"/>
        <v>0</v>
      </c>
      <c r="L136" s="176"/>
      <c r="M136" s="176"/>
    </row>
    <row r="137" spans="1:14" s="284" customFormat="1" ht="63" hidden="1" x14ac:dyDescent="0.35">
      <c r="A137" s="172"/>
      <c r="B137" s="207"/>
      <c r="C137" s="174" t="s">
        <v>51</v>
      </c>
      <c r="D137" s="178" t="s">
        <v>239</v>
      </c>
      <c r="E137" s="174" t="s">
        <v>185</v>
      </c>
      <c r="F137" s="174">
        <v>1.2</v>
      </c>
      <c r="G137" s="176">
        <f>41471/6</f>
        <v>6911.833333333333</v>
      </c>
      <c r="H137" s="176">
        <f>G137*F137</f>
        <v>8294.1999999999989</v>
      </c>
      <c r="I137" s="177"/>
      <c r="J137" s="177"/>
      <c r="K137" s="177">
        <f t="shared" si="10"/>
        <v>0</v>
      </c>
      <c r="L137" s="176"/>
      <c r="M137" s="176"/>
    </row>
    <row r="138" spans="1:14" s="284" customFormat="1" ht="31.8" hidden="1" x14ac:dyDescent="0.35">
      <c r="A138" s="172"/>
      <c r="B138" s="207"/>
      <c r="C138" s="174" t="s">
        <v>51</v>
      </c>
      <c r="D138" s="178" t="s">
        <v>240</v>
      </c>
      <c r="E138" s="174" t="s">
        <v>185</v>
      </c>
      <c r="F138" s="174">
        <v>0.2</v>
      </c>
      <c r="G138" s="176">
        <f>32800/6</f>
        <v>5466.666666666667</v>
      </c>
      <c r="H138" s="176">
        <f>G138*F138</f>
        <v>1093.3333333333335</v>
      </c>
      <c r="I138" s="177"/>
      <c r="J138" s="177"/>
      <c r="K138" s="177">
        <f t="shared" si="10"/>
        <v>0</v>
      </c>
      <c r="L138" s="176"/>
      <c r="M138" s="176"/>
    </row>
    <row r="139" spans="1:14" s="284" customFormat="1" ht="18" hidden="1" x14ac:dyDescent="0.35">
      <c r="A139" s="172"/>
      <c r="B139" s="207"/>
      <c r="C139" s="174" t="s">
        <v>51</v>
      </c>
      <c r="D139" s="178" t="s">
        <v>202</v>
      </c>
      <c r="E139" s="174" t="s">
        <v>213</v>
      </c>
      <c r="F139" s="174">
        <v>1</v>
      </c>
      <c r="G139" s="192">
        <f>G48</f>
        <v>31</v>
      </c>
      <c r="H139" s="176">
        <f>G139*F139</f>
        <v>31</v>
      </c>
      <c r="I139" s="177"/>
      <c r="J139" s="177"/>
      <c r="K139" s="177">
        <f t="shared" si="10"/>
        <v>0</v>
      </c>
      <c r="L139" s="176"/>
      <c r="M139" s="176"/>
    </row>
    <row r="140" spans="1:14" s="284" customFormat="1" ht="36" hidden="1" x14ac:dyDescent="0.35">
      <c r="A140" s="184" t="s">
        <v>241</v>
      </c>
      <c r="B140" s="208" t="s">
        <v>242</v>
      </c>
      <c r="C140" s="186" t="s">
        <v>51</v>
      </c>
      <c r="D140" s="187"/>
      <c r="E140" s="186"/>
      <c r="F140" s="186"/>
      <c r="G140" s="188"/>
      <c r="H140" s="188">
        <f>H141+H142+H143+H144</f>
        <v>17370.300000000003</v>
      </c>
      <c r="I140" s="194">
        <v>17350</v>
      </c>
      <c r="J140" s="194">
        <f>[2]Лист2!S44</f>
        <v>59400</v>
      </c>
      <c r="K140" s="194">
        <f t="shared" si="10"/>
        <v>76750</v>
      </c>
      <c r="L140" s="176"/>
      <c r="M140" s="176">
        <v>65450</v>
      </c>
      <c r="N140" s="284">
        <f t="shared" ref="N140:N158" si="11">K140/M140*100</f>
        <v>117.26508785332315</v>
      </c>
    </row>
    <row r="141" spans="1:14" s="284" customFormat="1" ht="63" hidden="1" x14ac:dyDescent="0.35">
      <c r="A141" s="184"/>
      <c r="B141" s="208"/>
      <c r="C141" s="186" t="s">
        <v>51</v>
      </c>
      <c r="D141" s="187" t="s">
        <v>238</v>
      </c>
      <c r="E141" s="186" t="s">
        <v>185</v>
      </c>
      <c r="F141" s="186">
        <v>0.8</v>
      </c>
      <c r="G141" s="188">
        <f>41471/6</f>
        <v>6911.833333333333</v>
      </c>
      <c r="H141" s="188">
        <f>G141*F141</f>
        <v>5529.4666666666672</v>
      </c>
      <c r="I141" s="194"/>
      <c r="J141" s="194"/>
      <c r="K141" s="194">
        <f t="shared" si="10"/>
        <v>0</v>
      </c>
      <c r="L141" s="176"/>
      <c r="M141" s="176">
        <v>0</v>
      </c>
      <c r="N141" s="284" t="e">
        <f t="shared" si="11"/>
        <v>#DIV/0!</v>
      </c>
    </row>
    <row r="142" spans="1:14" s="284" customFormat="1" ht="63" hidden="1" x14ac:dyDescent="0.35">
      <c r="A142" s="184"/>
      <c r="B142" s="208"/>
      <c r="C142" s="186" t="s">
        <v>51</v>
      </c>
      <c r="D142" s="187" t="s">
        <v>239</v>
      </c>
      <c r="E142" s="186" t="s">
        <v>185</v>
      </c>
      <c r="F142" s="186">
        <v>1.6</v>
      </c>
      <c r="G142" s="188">
        <f>41471/6</f>
        <v>6911.833333333333</v>
      </c>
      <c r="H142" s="188">
        <f>G142*F142</f>
        <v>11058.933333333334</v>
      </c>
      <c r="I142" s="194"/>
      <c r="J142" s="194"/>
      <c r="K142" s="194">
        <f t="shared" si="10"/>
        <v>0</v>
      </c>
      <c r="L142" s="176"/>
      <c r="M142" s="176">
        <v>0</v>
      </c>
      <c r="N142" s="284" t="e">
        <f t="shared" si="11"/>
        <v>#DIV/0!</v>
      </c>
    </row>
    <row r="143" spans="1:14" s="284" customFormat="1" ht="31.8" hidden="1" x14ac:dyDescent="0.35">
      <c r="A143" s="184"/>
      <c r="B143" s="208"/>
      <c r="C143" s="186" t="s">
        <v>51</v>
      </c>
      <c r="D143" s="187" t="s">
        <v>240</v>
      </c>
      <c r="E143" s="186" t="s">
        <v>185</v>
      </c>
      <c r="F143" s="186">
        <v>0.2</v>
      </c>
      <c r="G143" s="188">
        <f>22527/6</f>
        <v>3754.5</v>
      </c>
      <c r="H143" s="188">
        <f>G143*F143</f>
        <v>750.90000000000009</v>
      </c>
      <c r="I143" s="194"/>
      <c r="J143" s="194"/>
      <c r="K143" s="194">
        <f t="shared" si="10"/>
        <v>0</v>
      </c>
      <c r="L143" s="176"/>
      <c r="M143" s="176">
        <v>0</v>
      </c>
      <c r="N143" s="284" t="e">
        <f t="shared" si="11"/>
        <v>#DIV/0!</v>
      </c>
    </row>
    <row r="144" spans="1:14" s="284" customFormat="1" ht="18" hidden="1" x14ac:dyDescent="0.35">
      <c r="A144" s="184"/>
      <c r="B144" s="208"/>
      <c r="C144" s="186" t="s">
        <v>51</v>
      </c>
      <c r="D144" s="187" t="s">
        <v>202</v>
      </c>
      <c r="E144" s="186" t="s">
        <v>213</v>
      </c>
      <c r="F144" s="186">
        <v>1</v>
      </c>
      <c r="G144" s="188">
        <f>G48</f>
        <v>31</v>
      </c>
      <c r="H144" s="188">
        <f>G144*F144</f>
        <v>31</v>
      </c>
      <c r="I144" s="194"/>
      <c r="J144" s="194"/>
      <c r="K144" s="194">
        <f t="shared" si="10"/>
        <v>0</v>
      </c>
      <c r="L144" s="176"/>
      <c r="M144" s="176">
        <v>0</v>
      </c>
      <c r="N144" s="284" t="e">
        <f t="shared" si="11"/>
        <v>#DIV/0!</v>
      </c>
    </row>
    <row r="145" spans="1:14" s="284" customFormat="1" ht="28.5" hidden="1" customHeight="1" x14ac:dyDescent="0.35">
      <c r="A145" s="184" t="s">
        <v>243</v>
      </c>
      <c r="B145" s="208" t="s">
        <v>244</v>
      </c>
      <c r="C145" s="186" t="s">
        <v>51</v>
      </c>
      <c r="D145" s="187"/>
      <c r="E145" s="186"/>
      <c r="F145" s="186"/>
      <c r="G145" s="188"/>
      <c r="H145" s="188">
        <f>H146+H147</f>
        <v>13</v>
      </c>
      <c r="I145" s="194"/>
      <c r="J145" s="194">
        <f>[2]Лист2!S46</f>
        <v>12900</v>
      </c>
      <c r="K145" s="194">
        <f t="shared" si="10"/>
        <v>12900</v>
      </c>
      <c r="L145" s="176"/>
      <c r="M145" s="176">
        <v>10950</v>
      </c>
      <c r="N145" s="284">
        <f t="shared" si="11"/>
        <v>117.8082191780822</v>
      </c>
    </row>
    <row r="146" spans="1:14" s="284" customFormat="1" ht="28.5" hidden="1" customHeight="1" x14ac:dyDescent="0.35">
      <c r="A146" s="184"/>
      <c r="B146" s="208"/>
      <c r="C146" s="186" t="s">
        <v>51</v>
      </c>
      <c r="D146" s="187" t="s">
        <v>245</v>
      </c>
      <c r="E146" s="186" t="s">
        <v>185</v>
      </c>
      <c r="F146" s="209" t="s">
        <v>246</v>
      </c>
      <c r="G146" s="188"/>
      <c r="H146" s="188"/>
      <c r="I146" s="194"/>
      <c r="J146" s="194"/>
      <c r="K146" s="194">
        <f t="shared" si="10"/>
        <v>0</v>
      </c>
      <c r="L146" s="176"/>
      <c r="M146" s="176">
        <v>0</v>
      </c>
      <c r="N146" s="284" t="e">
        <f t="shared" si="11"/>
        <v>#DIV/0!</v>
      </c>
    </row>
    <row r="147" spans="1:14" s="284" customFormat="1" ht="28.5" hidden="1" customHeight="1" x14ac:dyDescent="0.35">
      <c r="A147" s="184"/>
      <c r="B147" s="208"/>
      <c r="C147" s="186" t="s">
        <v>51</v>
      </c>
      <c r="D147" s="187" t="s">
        <v>247</v>
      </c>
      <c r="E147" s="186" t="s">
        <v>213</v>
      </c>
      <c r="F147" s="186">
        <v>1</v>
      </c>
      <c r="G147" s="188">
        <f>G48</f>
        <v>31</v>
      </c>
      <c r="H147" s="188">
        <v>13</v>
      </c>
      <c r="I147" s="194"/>
      <c r="J147" s="194"/>
      <c r="K147" s="194">
        <f t="shared" si="10"/>
        <v>0</v>
      </c>
      <c r="L147" s="176"/>
      <c r="M147" s="176">
        <v>0</v>
      </c>
      <c r="N147" s="284" t="e">
        <f t="shared" si="11"/>
        <v>#DIV/0!</v>
      </c>
    </row>
    <row r="148" spans="1:14" s="284" customFormat="1" ht="54" hidden="1" x14ac:dyDescent="0.35">
      <c r="A148" s="184" t="s">
        <v>248</v>
      </c>
      <c r="B148" s="208" t="s">
        <v>249</v>
      </c>
      <c r="C148" s="186" t="s">
        <v>51</v>
      </c>
      <c r="D148" s="187"/>
      <c r="E148" s="186"/>
      <c r="F148" s="186"/>
      <c r="G148" s="188"/>
      <c r="H148" s="188">
        <f>H149+H150+H151+H152</f>
        <v>15168.041516666666</v>
      </c>
      <c r="I148" s="194">
        <v>15100</v>
      </c>
      <c r="J148" s="194">
        <f>[2]Лист2!S47</f>
        <v>52200</v>
      </c>
      <c r="K148" s="194">
        <f t="shared" si="10"/>
        <v>67300</v>
      </c>
      <c r="L148" s="176"/>
      <c r="M148" s="176">
        <v>58800</v>
      </c>
      <c r="N148" s="284">
        <f t="shared" si="11"/>
        <v>114.45578231292517</v>
      </c>
    </row>
    <row r="149" spans="1:14" s="284" customFormat="1" ht="63" hidden="1" x14ac:dyDescent="0.35">
      <c r="A149" s="184"/>
      <c r="B149" s="208"/>
      <c r="C149" s="186" t="s">
        <v>51</v>
      </c>
      <c r="D149" s="187" t="s">
        <v>250</v>
      </c>
      <c r="E149" s="186" t="s">
        <v>185</v>
      </c>
      <c r="F149" s="186">
        <v>0.5</v>
      </c>
      <c r="G149" s="188">
        <f>41471/6</f>
        <v>6911.833333333333</v>
      </c>
      <c r="H149" s="188">
        <f>G149*F149</f>
        <v>3455.9166666666665</v>
      </c>
      <c r="I149" s="194"/>
      <c r="J149" s="194"/>
      <c r="K149" s="194">
        <f t="shared" si="10"/>
        <v>0</v>
      </c>
      <c r="L149" s="176"/>
      <c r="M149" s="176">
        <v>0</v>
      </c>
      <c r="N149" s="284" t="e">
        <f t="shared" si="11"/>
        <v>#DIV/0!</v>
      </c>
    </row>
    <row r="150" spans="1:14" s="284" customFormat="1" ht="63" hidden="1" x14ac:dyDescent="0.35">
      <c r="A150" s="184"/>
      <c r="B150" s="208"/>
      <c r="C150" s="186" t="s">
        <v>51</v>
      </c>
      <c r="D150" s="187" t="s">
        <v>251</v>
      </c>
      <c r="E150" s="186" t="s">
        <v>185</v>
      </c>
      <c r="F150" s="186">
        <v>1.5</v>
      </c>
      <c r="G150" s="188">
        <f>41471/6</f>
        <v>6911.833333333333</v>
      </c>
      <c r="H150" s="188">
        <f>G150*F150</f>
        <v>10367.75</v>
      </c>
      <c r="I150" s="194"/>
      <c r="J150" s="194"/>
      <c r="K150" s="194">
        <f t="shared" si="10"/>
        <v>0</v>
      </c>
      <c r="L150" s="176"/>
      <c r="M150" s="176">
        <v>0</v>
      </c>
      <c r="N150" s="284" t="e">
        <f t="shared" si="11"/>
        <v>#DIV/0!</v>
      </c>
    </row>
    <row r="151" spans="1:14" s="284" customFormat="1" ht="31.8" hidden="1" x14ac:dyDescent="0.35">
      <c r="A151" s="184"/>
      <c r="B151" s="208"/>
      <c r="C151" s="186" t="s">
        <v>51</v>
      </c>
      <c r="D151" s="187" t="s">
        <v>240</v>
      </c>
      <c r="E151" s="186" t="s">
        <v>185</v>
      </c>
      <c r="F151" s="186">
        <v>0.33329999999999999</v>
      </c>
      <c r="G151" s="188">
        <f>22527/6</f>
        <v>3754.5</v>
      </c>
      <c r="H151" s="188">
        <f>G151*F151</f>
        <v>1251.3748499999999</v>
      </c>
      <c r="I151" s="194"/>
      <c r="J151" s="194"/>
      <c r="K151" s="194">
        <f t="shared" si="10"/>
        <v>0</v>
      </c>
      <c r="L151" s="176"/>
      <c r="M151" s="176">
        <v>0</v>
      </c>
      <c r="N151" s="284" t="e">
        <f t="shared" si="11"/>
        <v>#DIV/0!</v>
      </c>
    </row>
    <row r="152" spans="1:14" s="284" customFormat="1" ht="28.5" hidden="1" customHeight="1" x14ac:dyDescent="0.35">
      <c r="A152" s="184"/>
      <c r="B152" s="208"/>
      <c r="C152" s="186" t="s">
        <v>51</v>
      </c>
      <c r="D152" s="187" t="s">
        <v>247</v>
      </c>
      <c r="E152" s="186" t="s">
        <v>213</v>
      </c>
      <c r="F152" s="209" t="s">
        <v>252</v>
      </c>
      <c r="G152" s="188">
        <f>G48</f>
        <v>31</v>
      </c>
      <c r="H152" s="188">
        <f>G152*F152</f>
        <v>93</v>
      </c>
      <c r="I152" s="194"/>
      <c r="J152" s="194"/>
      <c r="K152" s="194">
        <f t="shared" si="10"/>
        <v>0</v>
      </c>
      <c r="L152" s="176"/>
      <c r="M152" s="176">
        <v>0</v>
      </c>
      <c r="N152" s="284" t="e">
        <f t="shared" si="11"/>
        <v>#DIV/0!</v>
      </c>
    </row>
    <row r="153" spans="1:14" s="284" customFormat="1" ht="54" hidden="1" x14ac:dyDescent="0.35">
      <c r="A153" s="184" t="s">
        <v>253</v>
      </c>
      <c r="B153" s="208" t="s">
        <v>254</v>
      </c>
      <c r="C153" s="186" t="s">
        <v>51</v>
      </c>
      <c r="D153" s="187"/>
      <c r="E153" s="186"/>
      <c r="F153" s="186"/>
      <c r="G153" s="188"/>
      <c r="H153" s="188">
        <f>H154+H155+H156+H157</f>
        <v>20225.749999999996</v>
      </c>
      <c r="I153" s="194">
        <v>20200</v>
      </c>
      <c r="J153" s="194">
        <f>[2]Лист2!S48</f>
        <v>78200</v>
      </c>
      <c r="K153" s="194">
        <f t="shared" si="10"/>
        <v>98400</v>
      </c>
      <c r="L153" s="176"/>
      <c r="M153" s="176">
        <v>85750</v>
      </c>
      <c r="N153" s="284">
        <f t="shared" si="11"/>
        <v>114.75218658892128</v>
      </c>
    </row>
    <row r="154" spans="1:14" s="284" customFormat="1" ht="63" hidden="1" x14ac:dyDescent="0.35">
      <c r="A154" s="184"/>
      <c r="B154" s="208"/>
      <c r="C154" s="186" t="s">
        <v>51</v>
      </c>
      <c r="D154" s="187" t="s">
        <v>250</v>
      </c>
      <c r="E154" s="186" t="s">
        <v>185</v>
      </c>
      <c r="F154" s="186">
        <v>0.7</v>
      </c>
      <c r="G154" s="188">
        <f>41471/6</f>
        <v>6911.833333333333</v>
      </c>
      <c r="H154" s="188">
        <f>G154*F154</f>
        <v>4838.2833333333328</v>
      </c>
      <c r="I154" s="194"/>
      <c r="J154" s="194"/>
      <c r="K154" s="194">
        <f t="shared" si="10"/>
        <v>0</v>
      </c>
      <c r="L154" s="176"/>
      <c r="M154" s="176">
        <v>0</v>
      </c>
      <c r="N154" s="284" t="e">
        <f t="shared" si="11"/>
        <v>#DIV/0!</v>
      </c>
    </row>
    <row r="155" spans="1:14" s="284" customFormat="1" ht="63" hidden="1" x14ac:dyDescent="0.35">
      <c r="A155" s="184"/>
      <c r="B155" s="208"/>
      <c r="C155" s="186" t="s">
        <v>51</v>
      </c>
      <c r="D155" s="187" t="s">
        <v>251</v>
      </c>
      <c r="E155" s="186" t="s">
        <v>185</v>
      </c>
      <c r="F155" s="186">
        <v>2</v>
      </c>
      <c r="G155" s="188">
        <f>41471/6</f>
        <v>6911.833333333333</v>
      </c>
      <c r="H155" s="188">
        <f>G155*F155</f>
        <v>13823.666666666666</v>
      </c>
      <c r="I155" s="194"/>
      <c r="J155" s="194"/>
      <c r="K155" s="194">
        <f t="shared" si="10"/>
        <v>0</v>
      </c>
      <c r="L155" s="176"/>
      <c r="M155" s="176">
        <v>0</v>
      </c>
      <c r="N155" s="284" t="e">
        <f t="shared" si="11"/>
        <v>#DIV/0!</v>
      </c>
    </row>
    <row r="156" spans="1:14" s="284" customFormat="1" ht="31.8" hidden="1" x14ac:dyDescent="0.35">
      <c r="A156" s="184"/>
      <c r="B156" s="208"/>
      <c r="C156" s="186" t="s">
        <v>51</v>
      </c>
      <c r="D156" s="187" t="s">
        <v>240</v>
      </c>
      <c r="E156" s="186" t="s">
        <v>185</v>
      </c>
      <c r="F156" s="186">
        <v>0.4</v>
      </c>
      <c r="G156" s="188">
        <f>22527/6</f>
        <v>3754.5</v>
      </c>
      <c r="H156" s="188">
        <f>G156*F156</f>
        <v>1501.8000000000002</v>
      </c>
      <c r="I156" s="194"/>
      <c r="J156" s="194"/>
      <c r="K156" s="194">
        <f t="shared" si="10"/>
        <v>0</v>
      </c>
      <c r="L156" s="176"/>
      <c r="M156" s="176">
        <v>0</v>
      </c>
      <c r="N156" s="284" t="e">
        <f t="shared" si="11"/>
        <v>#DIV/0!</v>
      </c>
    </row>
    <row r="157" spans="1:14" s="284" customFormat="1" ht="28.5" hidden="1" customHeight="1" x14ac:dyDescent="0.35">
      <c r="A157" s="184"/>
      <c r="B157" s="208"/>
      <c r="C157" s="186" t="s">
        <v>51</v>
      </c>
      <c r="D157" s="187" t="s">
        <v>247</v>
      </c>
      <c r="E157" s="186" t="s">
        <v>213</v>
      </c>
      <c r="F157" s="186">
        <v>2</v>
      </c>
      <c r="G157" s="188">
        <f>G48</f>
        <v>31</v>
      </c>
      <c r="H157" s="188">
        <f>G157*F157</f>
        <v>62</v>
      </c>
      <c r="I157" s="194"/>
      <c r="J157" s="194"/>
      <c r="K157" s="194">
        <f t="shared" si="10"/>
        <v>0</v>
      </c>
      <c r="L157" s="176"/>
      <c r="M157" s="176">
        <v>0</v>
      </c>
      <c r="N157" s="284" t="e">
        <f t="shared" si="11"/>
        <v>#DIV/0!</v>
      </c>
    </row>
    <row r="158" spans="1:14" s="284" customFormat="1" ht="28.5" customHeight="1" x14ac:dyDescent="0.35">
      <c r="A158" s="172" t="s">
        <v>453</v>
      </c>
      <c r="B158" s="207" t="s">
        <v>105</v>
      </c>
      <c r="C158" s="174" t="s">
        <v>51</v>
      </c>
      <c r="D158" s="178"/>
      <c r="E158" s="174"/>
      <c r="F158" s="174"/>
      <c r="G158" s="176"/>
      <c r="H158" s="176">
        <f>H159</f>
        <v>31</v>
      </c>
      <c r="I158" s="177"/>
      <c r="J158" s="177">
        <v>1.29</v>
      </c>
      <c r="K158" s="177">
        <f t="shared" si="10"/>
        <v>1.29</v>
      </c>
      <c r="L158" s="176"/>
      <c r="M158" s="176">
        <v>12900</v>
      </c>
      <c r="N158" s="284">
        <f t="shared" si="11"/>
        <v>0.01</v>
      </c>
    </row>
    <row r="159" spans="1:14" s="284" customFormat="1" ht="31.8" hidden="1" x14ac:dyDescent="0.35">
      <c r="A159" s="172"/>
      <c r="B159" s="207"/>
      <c r="C159" s="174" t="s">
        <v>51</v>
      </c>
      <c r="D159" s="178" t="s">
        <v>255</v>
      </c>
      <c r="E159" s="174" t="s">
        <v>213</v>
      </c>
      <c r="F159" s="174">
        <v>1</v>
      </c>
      <c r="G159" s="192">
        <f>G48</f>
        <v>31</v>
      </c>
      <c r="H159" s="176">
        <f>G159*F159</f>
        <v>31</v>
      </c>
      <c r="I159" s="177"/>
      <c r="J159" s="177"/>
      <c r="K159" s="177">
        <f t="shared" si="10"/>
        <v>0</v>
      </c>
      <c r="L159" s="176"/>
      <c r="M159" s="176"/>
    </row>
    <row r="160" spans="1:14" s="284" customFormat="1" ht="54" hidden="1" x14ac:dyDescent="0.35">
      <c r="A160" s="184" t="s">
        <v>256</v>
      </c>
      <c r="B160" s="208" t="s">
        <v>257</v>
      </c>
      <c r="C160" s="186" t="s">
        <v>51</v>
      </c>
      <c r="D160" s="187"/>
      <c r="E160" s="186"/>
      <c r="F160" s="186"/>
      <c r="G160" s="188"/>
      <c r="H160" s="188">
        <f>H161</f>
        <v>3175.3</v>
      </c>
      <c r="I160" s="194">
        <v>3200</v>
      </c>
      <c r="J160" s="194">
        <f>[2]Лист2!S50</f>
        <v>20900</v>
      </c>
      <c r="K160" s="194">
        <f t="shared" si="10"/>
        <v>24100</v>
      </c>
      <c r="L160" s="176"/>
      <c r="M160" s="176">
        <v>20700</v>
      </c>
      <c r="N160" s="284">
        <f>K160/M160*100</f>
        <v>116.42512077294687</v>
      </c>
    </row>
    <row r="161" spans="1:22" s="284" customFormat="1" ht="47.4" hidden="1" x14ac:dyDescent="0.35">
      <c r="A161" s="184"/>
      <c r="B161" s="208"/>
      <c r="C161" s="186" t="s">
        <v>51</v>
      </c>
      <c r="D161" s="187" t="s">
        <v>258</v>
      </c>
      <c r="E161" s="186" t="s">
        <v>213</v>
      </c>
      <c r="F161" s="186">
        <v>0.3</v>
      </c>
      <c r="G161" s="188">
        <f>31753/3</f>
        <v>10584.333333333334</v>
      </c>
      <c r="H161" s="188">
        <f>G161*F161</f>
        <v>3175.3</v>
      </c>
      <c r="I161" s="194"/>
      <c r="J161" s="194"/>
      <c r="K161" s="194">
        <f t="shared" si="10"/>
        <v>0</v>
      </c>
      <c r="L161" s="176"/>
      <c r="M161" s="176">
        <v>0</v>
      </c>
      <c r="N161" s="284" t="e">
        <f>K161/M161*100</f>
        <v>#DIV/0!</v>
      </c>
    </row>
    <row r="162" spans="1:22" s="284" customFormat="1" ht="36" x14ac:dyDescent="0.35">
      <c r="A162" s="172" t="s">
        <v>454</v>
      </c>
      <c r="B162" s="207" t="s">
        <v>107</v>
      </c>
      <c r="C162" s="174" t="s">
        <v>51</v>
      </c>
      <c r="D162" s="178"/>
      <c r="E162" s="174"/>
      <c r="F162" s="174"/>
      <c r="G162" s="176"/>
      <c r="H162" s="176">
        <f>H163+H164+H165+H166+H167+H168+H169</f>
        <v>4266.8566666666666</v>
      </c>
      <c r="I162" s="177">
        <v>4300</v>
      </c>
      <c r="J162" s="177">
        <f>[2]Лист2!S52</f>
        <v>46900</v>
      </c>
      <c r="K162" s="177">
        <f t="shared" si="10"/>
        <v>51200</v>
      </c>
      <c r="L162" s="176"/>
      <c r="M162" s="176">
        <v>51200</v>
      </c>
      <c r="N162" s="284">
        <f>K162/M162*100</f>
        <v>100</v>
      </c>
    </row>
    <row r="163" spans="1:22" s="284" customFormat="1" ht="33" hidden="1" customHeight="1" x14ac:dyDescent="0.35">
      <c r="A163" s="172"/>
      <c r="B163" s="170"/>
      <c r="C163" s="174" t="s">
        <v>51</v>
      </c>
      <c r="D163" s="178" t="s">
        <v>259</v>
      </c>
      <c r="E163" s="174" t="s">
        <v>201</v>
      </c>
      <c r="F163" s="174">
        <v>0.15</v>
      </c>
      <c r="G163" s="176">
        <f>53139/15</f>
        <v>3542.6</v>
      </c>
      <c r="H163" s="176">
        <f>G163*F163</f>
        <v>531.39</v>
      </c>
      <c r="I163" s="177"/>
      <c r="J163" s="177"/>
      <c r="K163" s="177">
        <f t="shared" si="10"/>
        <v>0</v>
      </c>
      <c r="L163" s="176"/>
      <c r="M163" s="176"/>
    </row>
    <row r="164" spans="1:22" s="284" customFormat="1" ht="18" hidden="1" customHeight="1" x14ac:dyDescent="0.35">
      <c r="A164" s="172"/>
      <c r="B164" s="170"/>
      <c r="C164" s="174" t="s">
        <v>51</v>
      </c>
      <c r="D164" s="178" t="s">
        <v>260</v>
      </c>
      <c r="E164" s="174" t="s">
        <v>213</v>
      </c>
      <c r="F164" s="174">
        <v>0.5</v>
      </c>
      <c r="G164" s="176"/>
      <c r="H164" s="176">
        <f>G164*F164</f>
        <v>0</v>
      </c>
      <c r="I164" s="177"/>
      <c r="J164" s="177"/>
      <c r="K164" s="177">
        <f t="shared" si="10"/>
        <v>0</v>
      </c>
      <c r="L164" s="176"/>
      <c r="M164" s="176"/>
    </row>
    <row r="165" spans="1:22" s="284" customFormat="1" ht="18" hidden="1" x14ac:dyDescent="0.35">
      <c r="A165" s="172"/>
      <c r="B165" s="170"/>
      <c r="C165" s="174" t="s">
        <v>51</v>
      </c>
      <c r="D165" s="178" t="s">
        <v>261</v>
      </c>
      <c r="E165" s="174" t="s">
        <v>185</v>
      </c>
      <c r="F165" s="174">
        <v>1</v>
      </c>
      <c r="G165" s="176"/>
      <c r="H165" s="176">
        <f>G165*F165</f>
        <v>0</v>
      </c>
      <c r="I165" s="177"/>
      <c r="J165" s="177"/>
      <c r="K165" s="177">
        <f t="shared" si="10"/>
        <v>0</v>
      </c>
      <c r="L165" s="176"/>
      <c r="M165" s="176"/>
    </row>
    <row r="166" spans="1:22" s="284" customFormat="1" ht="18" hidden="1" x14ac:dyDescent="0.35">
      <c r="A166" s="172"/>
      <c r="B166" s="170"/>
      <c r="C166" s="174" t="s">
        <v>51</v>
      </c>
      <c r="D166" s="178" t="s">
        <v>262</v>
      </c>
      <c r="E166" s="174" t="s">
        <v>185</v>
      </c>
      <c r="F166" s="174" t="s">
        <v>263</v>
      </c>
      <c r="G166" s="176"/>
      <c r="H166" s="176"/>
      <c r="I166" s="177"/>
      <c r="J166" s="177"/>
      <c r="K166" s="177">
        <f t="shared" si="10"/>
        <v>0</v>
      </c>
      <c r="L166" s="176"/>
      <c r="M166" s="176"/>
    </row>
    <row r="167" spans="1:22" s="284" customFormat="1" ht="18" hidden="1" x14ac:dyDescent="0.35">
      <c r="A167" s="172"/>
      <c r="B167" s="170"/>
      <c r="C167" s="174" t="s">
        <v>51</v>
      </c>
      <c r="D167" s="178" t="s">
        <v>264</v>
      </c>
      <c r="E167" s="174" t="s">
        <v>185</v>
      </c>
      <c r="F167" s="174">
        <v>0.2</v>
      </c>
      <c r="G167" s="176">
        <v>4177.333333333333</v>
      </c>
      <c r="H167" s="176">
        <f>G167*F167</f>
        <v>835.4666666666667</v>
      </c>
      <c r="I167" s="177"/>
      <c r="J167" s="177"/>
      <c r="K167" s="177">
        <f t="shared" si="10"/>
        <v>0</v>
      </c>
      <c r="L167" s="176"/>
      <c r="M167" s="176"/>
    </row>
    <row r="168" spans="1:22" s="284" customFormat="1" ht="18" hidden="1" x14ac:dyDescent="0.35">
      <c r="A168" s="172"/>
      <c r="B168" s="170"/>
      <c r="C168" s="174" t="s">
        <v>51</v>
      </c>
      <c r="D168" s="178" t="s">
        <v>265</v>
      </c>
      <c r="E168" s="174" t="s">
        <v>185</v>
      </c>
      <c r="F168" s="174" t="s">
        <v>266</v>
      </c>
      <c r="G168" s="176"/>
      <c r="H168" s="176"/>
      <c r="I168" s="177"/>
      <c r="J168" s="177"/>
      <c r="K168" s="177">
        <f t="shared" si="10"/>
        <v>0</v>
      </c>
      <c r="L168" s="176"/>
      <c r="M168" s="176"/>
    </row>
    <row r="169" spans="1:22" s="284" customFormat="1" ht="18" hidden="1" x14ac:dyDescent="0.35">
      <c r="A169" s="172"/>
      <c r="B169" s="170"/>
      <c r="C169" s="174" t="s">
        <v>51</v>
      </c>
      <c r="D169" s="178" t="s">
        <v>267</v>
      </c>
      <c r="E169" s="174" t="s">
        <v>185</v>
      </c>
      <c r="F169" s="174">
        <v>5</v>
      </c>
      <c r="G169" s="206">
        <v>580</v>
      </c>
      <c r="H169" s="176">
        <f>G169*F169</f>
        <v>2900</v>
      </c>
      <c r="I169" s="177"/>
      <c r="J169" s="177"/>
      <c r="K169" s="177">
        <f t="shared" si="10"/>
        <v>0</v>
      </c>
      <c r="L169" s="176"/>
      <c r="M169" s="176"/>
    </row>
    <row r="170" spans="1:22" s="284" customFormat="1" ht="90" x14ac:dyDescent="0.35">
      <c r="A170" s="180" t="s">
        <v>92</v>
      </c>
      <c r="B170" s="210" t="s">
        <v>109</v>
      </c>
      <c r="C170" s="182" t="s">
        <v>51</v>
      </c>
      <c r="D170" s="183"/>
      <c r="E170" s="174"/>
      <c r="F170" s="174"/>
      <c r="G170" s="176"/>
      <c r="H170" s="176"/>
      <c r="I170" s="177"/>
      <c r="J170" s="177"/>
      <c r="K170" s="177"/>
      <c r="L170" s="176"/>
      <c r="M170" s="176"/>
    </row>
    <row r="171" spans="1:22" s="284" customFormat="1" ht="36" x14ac:dyDescent="0.35">
      <c r="A171" s="180" t="s">
        <v>94</v>
      </c>
      <c r="B171" s="210" t="s">
        <v>111</v>
      </c>
      <c r="C171" s="211" t="s">
        <v>112</v>
      </c>
      <c r="D171" s="205" t="s">
        <v>268</v>
      </c>
      <c r="E171" s="174"/>
      <c r="F171" s="174"/>
      <c r="G171" s="176"/>
      <c r="H171" s="176">
        <f>SUM(H172:H172)</f>
        <v>14094.71875</v>
      </c>
      <c r="I171" s="212">
        <v>1.41</v>
      </c>
      <c r="J171" s="212">
        <v>3.91</v>
      </c>
      <c r="K171" s="212">
        <f t="shared" ref="K171:K177" si="12">J171+I171</f>
        <v>5.32</v>
      </c>
      <c r="L171" s="206">
        <v>5260</v>
      </c>
      <c r="M171" s="206">
        <f>K171*10000</f>
        <v>53200</v>
      </c>
      <c r="N171" s="284">
        <f>K171/M171*100</f>
        <v>0.01</v>
      </c>
    </row>
    <row r="172" spans="1:22" s="284" customFormat="1" ht="33" hidden="1" customHeight="1" x14ac:dyDescent="0.35">
      <c r="A172" s="180"/>
      <c r="B172" s="181"/>
      <c r="C172" s="182"/>
      <c r="D172" s="183" t="s">
        <v>269</v>
      </c>
      <c r="E172" s="174" t="s">
        <v>201</v>
      </c>
      <c r="F172" s="174">
        <v>0.2</v>
      </c>
      <c r="G172" s="179">
        <f>2255155/32</f>
        <v>70473.59375</v>
      </c>
      <c r="H172" s="176">
        <f>G172*F172</f>
        <v>14094.71875</v>
      </c>
      <c r="I172" s="212"/>
      <c r="J172" s="212"/>
      <c r="K172" s="212">
        <f t="shared" si="12"/>
        <v>0</v>
      </c>
      <c r="L172" s="206"/>
      <c r="M172" s="206">
        <f t="shared" ref="M172:M176" si="13">K172*1000</f>
        <v>0</v>
      </c>
    </row>
    <row r="173" spans="1:22" s="284" customFormat="1" ht="18" x14ac:dyDescent="0.35">
      <c r="A173" s="180" t="s">
        <v>96</v>
      </c>
      <c r="B173" s="210" t="s">
        <v>114</v>
      </c>
      <c r="C173" s="211" t="s">
        <v>112</v>
      </c>
      <c r="D173" s="205" t="s">
        <v>268</v>
      </c>
      <c r="E173" s="174"/>
      <c r="F173" s="174"/>
      <c r="G173" s="176"/>
      <c r="H173" s="176">
        <f>SUM(H174:H174)</f>
        <v>21142.078125</v>
      </c>
      <c r="I173" s="212">
        <v>2.12</v>
      </c>
      <c r="J173" s="212">
        <v>5.22</v>
      </c>
      <c r="K173" s="212">
        <f t="shared" si="12"/>
        <v>7.34</v>
      </c>
      <c r="L173" s="206">
        <v>6740</v>
      </c>
      <c r="M173" s="206">
        <f>K173*10000</f>
        <v>73400</v>
      </c>
      <c r="N173" s="284">
        <f>K173/M173*100</f>
        <v>0.01</v>
      </c>
    </row>
    <row r="174" spans="1:22" s="284" customFormat="1" ht="32.4" hidden="1" customHeight="1" x14ac:dyDescent="0.35">
      <c r="A174" s="180"/>
      <c r="B174" s="181"/>
      <c r="C174" s="182"/>
      <c r="D174" s="183" t="s">
        <v>269</v>
      </c>
      <c r="E174" s="174" t="s">
        <v>201</v>
      </c>
      <c r="F174" s="174">
        <v>0.3</v>
      </c>
      <c r="G174" s="192">
        <f>G172</f>
        <v>70473.59375</v>
      </c>
      <c r="H174" s="176">
        <f>G174*F174</f>
        <v>21142.078125</v>
      </c>
      <c r="I174" s="212"/>
      <c r="J174" s="212"/>
      <c r="K174" s="212">
        <f t="shared" si="12"/>
        <v>0</v>
      </c>
      <c r="L174" s="206"/>
      <c r="M174" s="206">
        <f t="shared" si="13"/>
        <v>0</v>
      </c>
    </row>
    <row r="175" spans="1:22" s="284" customFormat="1" ht="18" x14ac:dyDescent="0.35">
      <c r="A175" s="180" t="s">
        <v>98</v>
      </c>
      <c r="B175" s="210" t="s">
        <v>116</v>
      </c>
      <c r="C175" s="211" t="s">
        <v>112</v>
      </c>
      <c r="D175" s="205" t="s">
        <v>268</v>
      </c>
      <c r="E175" s="174"/>
      <c r="F175" s="174"/>
      <c r="G175" s="176"/>
      <c r="H175" s="176">
        <f>SUM(H176:H176)</f>
        <v>28189.4375</v>
      </c>
      <c r="I175" s="212">
        <v>2.82</v>
      </c>
      <c r="J175" s="212">
        <v>5.74</v>
      </c>
      <c r="K175" s="212">
        <f t="shared" si="12"/>
        <v>8.56</v>
      </c>
      <c r="L175" s="206">
        <v>8990</v>
      </c>
      <c r="M175" s="206">
        <f>K175*10000</f>
        <v>85600</v>
      </c>
      <c r="N175" s="284">
        <f>K175/M175*100</f>
        <v>0.01</v>
      </c>
      <c r="V175" s="284">
        <v>10000</v>
      </c>
    </row>
    <row r="176" spans="1:22" s="284" customFormat="1" ht="33.6" hidden="1" customHeight="1" x14ac:dyDescent="0.35">
      <c r="A176" s="180"/>
      <c r="B176" s="181"/>
      <c r="C176" s="182"/>
      <c r="D176" s="183" t="s">
        <v>269</v>
      </c>
      <c r="E176" s="174" t="s">
        <v>201</v>
      </c>
      <c r="F176" s="174">
        <v>0.4</v>
      </c>
      <c r="G176" s="192">
        <f>G172</f>
        <v>70473.59375</v>
      </c>
      <c r="H176" s="176">
        <f>G176*F176</f>
        <v>28189.4375</v>
      </c>
      <c r="I176" s="212"/>
      <c r="J176" s="212"/>
      <c r="K176" s="212">
        <f t="shared" si="12"/>
        <v>0</v>
      </c>
      <c r="L176" s="206"/>
      <c r="M176" s="206">
        <f t="shared" si="13"/>
        <v>0</v>
      </c>
    </row>
    <row r="177" spans="1:14" s="284" customFormat="1" ht="18" x14ac:dyDescent="0.35">
      <c r="A177" s="180" t="s">
        <v>100</v>
      </c>
      <c r="B177" s="210" t="s">
        <v>118</v>
      </c>
      <c r="C177" s="211" t="s">
        <v>112</v>
      </c>
      <c r="D177" s="205" t="s">
        <v>268</v>
      </c>
      <c r="E177" s="174"/>
      <c r="F177" s="174"/>
      <c r="G177" s="176"/>
      <c r="H177" s="176">
        <f>SUM(H178:H178)</f>
        <v>35236.796875</v>
      </c>
      <c r="I177" s="212">
        <v>3.53</v>
      </c>
      <c r="J177" s="212">
        <v>7.82</v>
      </c>
      <c r="K177" s="212">
        <f t="shared" si="12"/>
        <v>11.35</v>
      </c>
      <c r="L177" s="206">
        <v>11240</v>
      </c>
      <c r="M177" s="206">
        <f>K177*10000</f>
        <v>113500</v>
      </c>
      <c r="N177" s="284">
        <f>K177/M177*100</f>
        <v>9.9999999999999985E-3</v>
      </c>
    </row>
    <row r="178" spans="1:14" s="284" customFormat="1" ht="31.8" hidden="1" x14ac:dyDescent="0.35">
      <c r="A178" s="180"/>
      <c r="B178" s="181"/>
      <c r="C178" s="182"/>
      <c r="D178" s="183" t="s">
        <v>269</v>
      </c>
      <c r="E178" s="174" t="s">
        <v>201</v>
      </c>
      <c r="F178" s="174">
        <v>0.5</v>
      </c>
      <c r="G178" s="192">
        <f>G172</f>
        <v>70473.59375</v>
      </c>
      <c r="H178" s="176">
        <f>G178*F178</f>
        <v>35236.796875</v>
      </c>
      <c r="I178" s="177"/>
      <c r="J178" s="177"/>
      <c r="K178" s="177"/>
      <c r="L178" s="176"/>
      <c r="M178" s="176"/>
    </row>
    <row r="179" spans="1:14" s="284" customFormat="1" ht="36" x14ac:dyDescent="0.35">
      <c r="A179" s="301" t="s">
        <v>102</v>
      </c>
      <c r="B179" s="302" t="s">
        <v>111</v>
      </c>
      <c r="C179" s="300" t="s">
        <v>455</v>
      </c>
      <c r="D179" s="303" t="s">
        <v>268</v>
      </c>
      <c r="E179" s="304"/>
      <c r="F179" s="304"/>
      <c r="G179" s="305"/>
      <c r="H179" s="305">
        <f>SUM(H180:H180)</f>
        <v>6902.4390243902444</v>
      </c>
      <c r="I179" s="212">
        <v>1.73</v>
      </c>
      <c r="J179" s="212">
        <v>3.91</v>
      </c>
      <c r="K179" s="212">
        <f>J179+I179</f>
        <v>5.6400000000000006</v>
      </c>
      <c r="L179" s="176"/>
      <c r="M179" s="176">
        <v>56400</v>
      </c>
    </row>
    <row r="180" spans="1:14" s="284" customFormat="1" ht="18" x14ac:dyDescent="0.35">
      <c r="A180" s="301" t="s">
        <v>104</v>
      </c>
      <c r="B180" s="302" t="s">
        <v>114</v>
      </c>
      <c r="C180" s="300" t="s">
        <v>455</v>
      </c>
      <c r="D180" s="303" t="s">
        <v>268</v>
      </c>
      <c r="E180" s="304"/>
      <c r="F180" s="304"/>
      <c r="G180" s="305"/>
      <c r="H180" s="305">
        <f>SUM(H181:H181)</f>
        <v>6902.4390243902444</v>
      </c>
      <c r="I180" s="212">
        <v>2.59</v>
      </c>
      <c r="J180" s="212">
        <v>5.22</v>
      </c>
      <c r="K180" s="212">
        <f t="shared" ref="K180:K182" si="14">J180+I180</f>
        <v>7.81</v>
      </c>
      <c r="L180" s="176"/>
      <c r="M180" s="176">
        <v>78100</v>
      </c>
    </row>
    <row r="181" spans="1:14" s="284" customFormat="1" ht="18" x14ac:dyDescent="0.35">
      <c r="A181" s="301" t="s">
        <v>106</v>
      </c>
      <c r="B181" s="302" t="s">
        <v>116</v>
      </c>
      <c r="C181" s="300" t="s">
        <v>455</v>
      </c>
      <c r="D181" s="303" t="s">
        <v>268</v>
      </c>
      <c r="E181" s="304"/>
      <c r="F181" s="304"/>
      <c r="G181" s="305"/>
      <c r="H181" s="305">
        <f>SUM(H182:H182)</f>
        <v>6902.4390243902444</v>
      </c>
      <c r="I181" s="212">
        <v>3.46</v>
      </c>
      <c r="J181" s="212">
        <v>5.74</v>
      </c>
      <c r="K181" s="212">
        <f t="shared" si="14"/>
        <v>9.1999999999999993</v>
      </c>
      <c r="L181" s="176"/>
      <c r="M181" s="176">
        <v>92000</v>
      </c>
    </row>
    <row r="182" spans="1:14" s="284" customFormat="1" ht="18" x14ac:dyDescent="0.35">
      <c r="A182" s="301" t="s">
        <v>456</v>
      </c>
      <c r="B182" s="302" t="s">
        <v>118</v>
      </c>
      <c r="C182" s="300" t="s">
        <v>455</v>
      </c>
      <c r="D182" s="303" t="s">
        <v>268</v>
      </c>
      <c r="E182" s="304"/>
      <c r="F182" s="304"/>
      <c r="G182" s="305"/>
      <c r="H182" s="305">
        <f>SUM(H192:H192)</f>
        <v>6902.4390243902444</v>
      </c>
      <c r="I182" s="212">
        <v>4.32</v>
      </c>
      <c r="J182" s="212">
        <v>7.82</v>
      </c>
      <c r="K182" s="212">
        <f t="shared" si="14"/>
        <v>12.14</v>
      </c>
      <c r="L182" s="176"/>
      <c r="M182" s="176">
        <v>121400</v>
      </c>
    </row>
    <row r="183" spans="1:14" s="284" customFormat="1" ht="36" x14ac:dyDescent="0.35">
      <c r="A183" s="301" t="s">
        <v>457</v>
      </c>
      <c r="B183" s="302" t="s">
        <v>111</v>
      </c>
      <c r="C183" s="300" t="s">
        <v>458</v>
      </c>
      <c r="D183" s="303" t="s">
        <v>268</v>
      </c>
      <c r="E183" s="304"/>
      <c r="F183" s="304"/>
      <c r="G183" s="305"/>
      <c r="H183" s="305">
        <f>SUM(H184:H184)</f>
        <v>23032.2</v>
      </c>
      <c r="I183" s="212">
        <v>1.91</v>
      </c>
      <c r="J183" s="212">
        <v>3.91</v>
      </c>
      <c r="K183" s="212">
        <f>J183+I183</f>
        <v>5.82</v>
      </c>
      <c r="L183" s="306"/>
      <c r="M183" s="306">
        <v>56400</v>
      </c>
    </row>
    <row r="184" spans="1:14" s="284" customFormat="1" ht="18" x14ac:dyDescent="0.35">
      <c r="A184" s="301" t="s">
        <v>459</v>
      </c>
      <c r="B184" s="302" t="s">
        <v>114</v>
      </c>
      <c r="C184" s="300" t="s">
        <v>458</v>
      </c>
      <c r="D184" s="303" t="s">
        <v>268</v>
      </c>
      <c r="E184" s="304"/>
      <c r="F184" s="304"/>
      <c r="G184" s="305"/>
      <c r="H184" s="305">
        <f>SUM(H185:H185)</f>
        <v>23032.2</v>
      </c>
      <c r="I184" s="212">
        <v>2.87</v>
      </c>
      <c r="J184" s="212">
        <v>5.22</v>
      </c>
      <c r="K184" s="212">
        <f t="shared" ref="K184:K186" si="15">J184+I184</f>
        <v>8.09</v>
      </c>
      <c r="L184" s="306"/>
      <c r="M184" s="306">
        <v>78100</v>
      </c>
    </row>
    <row r="185" spans="1:14" s="284" customFormat="1" ht="18" x14ac:dyDescent="0.35">
      <c r="A185" s="301" t="s">
        <v>460</v>
      </c>
      <c r="B185" s="302" t="s">
        <v>116</v>
      </c>
      <c r="C185" s="300" t="s">
        <v>458</v>
      </c>
      <c r="D185" s="303" t="s">
        <v>268</v>
      </c>
      <c r="E185" s="304"/>
      <c r="F185" s="304"/>
      <c r="G185" s="305"/>
      <c r="H185" s="305">
        <f>SUM(H186:H186)</f>
        <v>23032.2</v>
      </c>
      <c r="I185" s="212">
        <v>3.83</v>
      </c>
      <c r="J185" s="212">
        <v>5.74</v>
      </c>
      <c r="K185" s="212">
        <f>J185+I185</f>
        <v>9.57</v>
      </c>
      <c r="L185" s="306"/>
      <c r="M185" s="306">
        <v>92000</v>
      </c>
    </row>
    <row r="186" spans="1:14" s="284" customFormat="1" ht="18" x14ac:dyDescent="0.35">
      <c r="A186" s="301" t="s">
        <v>461</v>
      </c>
      <c r="B186" s="302" t="s">
        <v>118</v>
      </c>
      <c r="C186" s="300" t="s">
        <v>458</v>
      </c>
      <c r="D186" s="303" t="s">
        <v>268</v>
      </c>
      <c r="E186" s="304"/>
      <c r="F186" s="304"/>
      <c r="G186" s="305"/>
      <c r="H186" s="305">
        <f>SUM(H196:H196)</f>
        <v>23032.2</v>
      </c>
      <c r="I186" s="212">
        <v>4.78</v>
      </c>
      <c r="J186" s="212">
        <v>7.82</v>
      </c>
      <c r="K186" s="212">
        <f t="shared" si="15"/>
        <v>12.600000000000001</v>
      </c>
      <c r="L186" s="306"/>
      <c r="M186" s="306">
        <v>121400</v>
      </c>
    </row>
    <row r="187" spans="1:14" s="284" customFormat="1" ht="90" x14ac:dyDescent="0.35">
      <c r="A187" s="180" t="s">
        <v>108</v>
      </c>
      <c r="B187" s="210" t="s">
        <v>270</v>
      </c>
      <c r="C187" s="182" t="s">
        <v>51</v>
      </c>
      <c r="D187" s="183"/>
      <c r="E187" s="182"/>
      <c r="F187" s="182"/>
      <c r="G187" s="206"/>
      <c r="H187" s="206"/>
      <c r="I187" s="212"/>
      <c r="J187" s="212"/>
      <c r="K187" s="212"/>
      <c r="L187" s="176"/>
      <c r="M187" s="176"/>
      <c r="N187" s="284" t="e">
        <f t="shared" ref="N187:N211" si="16">K187/M187*100</f>
        <v>#DIV/0!</v>
      </c>
    </row>
    <row r="188" spans="1:14" s="284" customFormat="1" ht="36.75" hidden="1" customHeight="1" x14ac:dyDescent="0.35">
      <c r="A188" s="180" t="s">
        <v>120</v>
      </c>
      <c r="B188" s="210" t="s">
        <v>111</v>
      </c>
      <c r="C188" s="211" t="s">
        <v>271</v>
      </c>
      <c r="D188" s="205" t="s">
        <v>272</v>
      </c>
      <c r="E188" s="182"/>
      <c r="F188" s="182"/>
      <c r="G188" s="206"/>
      <c r="H188" s="206">
        <f>SUM(H189:H189)</f>
        <v>3629.2296296296299</v>
      </c>
      <c r="I188" s="212">
        <v>3650</v>
      </c>
      <c r="J188" s="212">
        <f>[2]Лист2!S59</f>
        <v>52200</v>
      </c>
      <c r="K188" s="212">
        <f t="shared" ref="K188:K211" si="17">J188+I188</f>
        <v>55850</v>
      </c>
      <c r="L188" s="176">
        <v>8760</v>
      </c>
      <c r="M188" s="176">
        <v>47350</v>
      </c>
      <c r="N188" s="284">
        <f t="shared" si="16"/>
        <v>117.95142555438225</v>
      </c>
    </row>
    <row r="189" spans="1:14" s="284" customFormat="1" ht="36" x14ac:dyDescent="0.35">
      <c r="A189" s="180" t="s">
        <v>110</v>
      </c>
      <c r="B189" s="210" t="s">
        <v>111</v>
      </c>
      <c r="C189" s="211" t="s">
        <v>312</v>
      </c>
      <c r="D189" s="183" t="s">
        <v>269</v>
      </c>
      <c r="E189" s="182" t="s">
        <v>201</v>
      </c>
      <c r="F189" s="182">
        <v>0.2</v>
      </c>
      <c r="G189" s="206">
        <f>489946/27</f>
        <v>18146.14814814815</v>
      </c>
      <c r="H189" s="206">
        <f>G189*F189</f>
        <v>3629.2296296296299</v>
      </c>
      <c r="I189" s="212">
        <v>0.2</v>
      </c>
      <c r="J189" s="212">
        <f>J171</f>
        <v>3.91</v>
      </c>
      <c r="K189" s="212">
        <f t="shared" si="17"/>
        <v>4.1100000000000003</v>
      </c>
      <c r="L189" s="206"/>
      <c r="M189" s="206">
        <f t="shared" ref="M189:M211" si="18">K189*10000</f>
        <v>41100</v>
      </c>
      <c r="N189" s="284">
        <f t="shared" si="16"/>
        <v>0.01</v>
      </c>
    </row>
    <row r="190" spans="1:14" s="284" customFormat="1" ht="42.75" hidden="1" customHeight="1" x14ac:dyDescent="0.35">
      <c r="A190" s="180"/>
      <c r="B190" s="210" t="s">
        <v>111</v>
      </c>
      <c r="C190" s="211" t="s">
        <v>273</v>
      </c>
      <c r="D190" s="205" t="s">
        <v>268</v>
      </c>
      <c r="E190" s="182"/>
      <c r="F190" s="182"/>
      <c r="G190" s="206"/>
      <c r="H190" s="206">
        <f>SUM(H191:H191)</f>
        <v>14094.71875</v>
      </c>
      <c r="I190" s="212">
        <v>15350</v>
      </c>
      <c r="J190" s="212">
        <f>J188</f>
        <v>52200</v>
      </c>
      <c r="K190" s="212">
        <f t="shared" si="17"/>
        <v>67550</v>
      </c>
      <c r="L190" s="206">
        <v>7630</v>
      </c>
      <c r="M190" s="206">
        <f t="shared" si="18"/>
        <v>675500000</v>
      </c>
      <c r="N190" s="284">
        <f t="shared" si="16"/>
        <v>0.01</v>
      </c>
    </row>
    <row r="191" spans="1:14" s="284" customFormat="1" ht="31.8" hidden="1" x14ac:dyDescent="0.35">
      <c r="A191" s="180"/>
      <c r="B191" s="181"/>
      <c r="C191" s="211"/>
      <c r="D191" s="183" t="s">
        <v>269</v>
      </c>
      <c r="E191" s="182" t="s">
        <v>201</v>
      </c>
      <c r="F191" s="182">
        <v>0.2</v>
      </c>
      <c r="G191" s="206">
        <f>G172</f>
        <v>70473.59375</v>
      </c>
      <c r="H191" s="206">
        <f>G191*F191</f>
        <v>14094.71875</v>
      </c>
      <c r="I191" s="212"/>
      <c r="J191" s="212"/>
      <c r="K191" s="212">
        <f t="shared" si="17"/>
        <v>0</v>
      </c>
      <c r="L191" s="206"/>
      <c r="M191" s="206">
        <f t="shared" si="18"/>
        <v>0</v>
      </c>
      <c r="N191" s="284" t="e">
        <f t="shared" si="16"/>
        <v>#DIV/0!</v>
      </c>
    </row>
    <row r="192" spans="1:14" s="284" customFormat="1" ht="42.75" hidden="1" customHeight="1" x14ac:dyDescent="0.35">
      <c r="A192" s="180"/>
      <c r="B192" s="210" t="s">
        <v>111</v>
      </c>
      <c r="C192" s="211" t="s">
        <v>274</v>
      </c>
      <c r="D192" s="205" t="s">
        <v>275</v>
      </c>
      <c r="E192" s="182"/>
      <c r="F192" s="182"/>
      <c r="G192" s="206"/>
      <c r="H192" s="206">
        <f>SUM(H193:H193)</f>
        <v>6902.4390243902444</v>
      </c>
      <c r="I192" s="212">
        <v>6900</v>
      </c>
      <c r="J192" s="212">
        <f>J190</f>
        <v>52200</v>
      </c>
      <c r="K192" s="212">
        <f t="shared" si="17"/>
        <v>59100</v>
      </c>
      <c r="L192" s="206">
        <v>7630</v>
      </c>
      <c r="M192" s="206">
        <f t="shared" si="18"/>
        <v>591000000</v>
      </c>
      <c r="N192" s="284">
        <f t="shared" si="16"/>
        <v>0.01</v>
      </c>
    </row>
    <row r="193" spans="1:14" s="284" customFormat="1" ht="31.8" hidden="1" x14ac:dyDescent="0.35">
      <c r="A193" s="180"/>
      <c r="B193" s="181"/>
      <c r="C193" s="211"/>
      <c r="D193" s="183" t="s">
        <v>269</v>
      </c>
      <c r="E193" s="182" t="s">
        <v>201</v>
      </c>
      <c r="F193" s="182">
        <v>0.2</v>
      </c>
      <c r="G193" s="206">
        <f>1415000/41</f>
        <v>34512.195121951219</v>
      </c>
      <c r="H193" s="206">
        <f>G193*F193</f>
        <v>6902.4390243902444</v>
      </c>
      <c r="I193" s="212"/>
      <c r="J193" s="212"/>
      <c r="K193" s="212">
        <f t="shared" si="17"/>
        <v>0</v>
      </c>
      <c r="L193" s="206"/>
      <c r="M193" s="206">
        <f t="shared" si="18"/>
        <v>0</v>
      </c>
      <c r="N193" s="284" t="e">
        <f t="shared" si="16"/>
        <v>#DIV/0!</v>
      </c>
    </row>
    <row r="194" spans="1:14" s="284" customFormat="1" ht="18" hidden="1" x14ac:dyDescent="0.35">
      <c r="A194" s="180" t="s">
        <v>276</v>
      </c>
      <c r="B194" s="210" t="s">
        <v>277</v>
      </c>
      <c r="C194" s="211" t="s">
        <v>278</v>
      </c>
      <c r="D194" s="205" t="s">
        <v>272</v>
      </c>
      <c r="E194" s="182"/>
      <c r="F194" s="182"/>
      <c r="G194" s="206"/>
      <c r="H194" s="206">
        <f>SUM(H195:H195)</f>
        <v>5443.8444444444449</v>
      </c>
      <c r="I194" s="212">
        <v>5450</v>
      </c>
      <c r="J194" s="212">
        <f>[2]Лист2!S60</f>
        <v>65200</v>
      </c>
      <c r="K194" s="212">
        <f t="shared" si="17"/>
        <v>70650</v>
      </c>
      <c r="L194" s="206">
        <v>12180</v>
      </c>
      <c r="M194" s="206">
        <f t="shared" si="18"/>
        <v>706500000</v>
      </c>
      <c r="N194" s="284">
        <f t="shared" si="16"/>
        <v>0.01</v>
      </c>
    </row>
    <row r="195" spans="1:14" s="284" customFormat="1" ht="23.4" customHeight="1" x14ac:dyDescent="0.35">
      <c r="A195" s="180" t="s">
        <v>113</v>
      </c>
      <c r="B195" s="210" t="s">
        <v>277</v>
      </c>
      <c r="C195" s="211" t="s">
        <v>312</v>
      </c>
      <c r="D195" s="183" t="s">
        <v>269</v>
      </c>
      <c r="E195" s="182" t="s">
        <v>201</v>
      </c>
      <c r="F195" s="182">
        <v>0.3</v>
      </c>
      <c r="G195" s="206">
        <f>489946/27</f>
        <v>18146.14814814815</v>
      </c>
      <c r="H195" s="206">
        <f>G195*F195</f>
        <v>5443.8444444444449</v>
      </c>
      <c r="I195" s="212">
        <v>0.3</v>
      </c>
      <c r="J195" s="212">
        <f>J173</f>
        <v>5.22</v>
      </c>
      <c r="K195" s="212">
        <f t="shared" si="17"/>
        <v>5.52</v>
      </c>
      <c r="L195" s="206"/>
      <c r="M195" s="206">
        <f t="shared" si="18"/>
        <v>55199.999999999993</v>
      </c>
      <c r="N195" s="284">
        <f t="shared" si="16"/>
        <v>0.01</v>
      </c>
    </row>
    <row r="196" spans="1:14" s="284" customFormat="1" ht="18" hidden="1" x14ac:dyDescent="0.35">
      <c r="A196" s="180"/>
      <c r="B196" s="210" t="s">
        <v>277</v>
      </c>
      <c r="C196" s="211" t="s">
        <v>112</v>
      </c>
      <c r="D196" s="205" t="s">
        <v>268</v>
      </c>
      <c r="E196" s="182"/>
      <c r="F196" s="182"/>
      <c r="G196" s="206"/>
      <c r="H196" s="206">
        <f>H197</f>
        <v>23032.2</v>
      </c>
      <c r="I196" s="212">
        <v>23050</v>
      </c>
      <c r="J196" s="212">
        <f>J194</f>
        <v>65200</v>
      </c>
      <c r="K196" s="212">
        <f t="shared" si="17"/>
        <v>88250</v>
      </c>
      <c r="L196" s="206">
        <v>16360</v>
      </c>
      <c r="M196" s="206">
        <f t="shared" si="18"/>
        <v>882500000</v>
      </c>
      <c r="N196" s="284">
        <f t="shared" si="16"/>
        <v>0.01</v>
      </c>
    </row>
    <row r="197" spans="1:14" s="284" customFormat="1" ht="31.8" hidden="1" x14ac:dyDescent="0.35">
      <c r="A197" s="180"/>
      <c r="B197" s="210"/>
      <c r="C197" s="211"/>
      <c r="D197" s="183" t="s">
        <v>269</v>
      </c>
      <c r="E197" s="182" t="s">
        <v>201</v>
      </c>
      <c r="F197" s="182">
        <v>0.3</v>
      </c>
      <c r="G197" s="206">
        <f>307096/4</f>
        <v>76774</v>
      </c>
      <c r="H197" s="206">
        <f>F197*G197</f>
        <v>23032.2</v>
      </c>
      <c r="I197" s="212"/>
      <c r="J197" s="212"/>
      <c r="K197" s="212">
        <f t="shared" si="17"/>
        <v>0</v>
      </c>
      <c r="L197" s="206"/>
      <c r="M197" s="206">
        <f t="shared" si="18"/>
        <v>0</v>
      </c>
      <c r="N197" s="284" t="e">
        <f t="shared" si="16"/>
        <v>#DIV/0!</v>
      </c>
    </row>
    <row r="198" spans="1:14" s="284" customFormat="1" ht="18" hidden="1" x14ac:dyDescent="0.35">
      <c r="A198" s="180"/>
      <c r="B198" s="210" t="s">
        <v>277</v>
      </c>
      <c r="C198" s="211" t="s">
        <v>274</v>
      </c>
      <c r="D198" s="205" t="s">
        <v>275</v>
      </c>
      <c r="E198" s="182"/>
      <c r="F198" s="182"/>
      <c r="G198" s="206"/>
      <c r="H198" s="206">
        <f>H199</f>
        <v>10353.658536585366</v>
      </c>
      <c r="I198" s="212">
        <v>10350</v>
      </c>
      <c r="J198" s="212">
        <f>J196</f>
        <v>65200</v>
      </c>
      <c r="K198" s="212">
        <f t="shared" si="17"/>
        <v>75550</v>
      </c>
      <c r="L198" s="206">
        <v>16360</v>
      </c>
      <c r="M198" s="206">
        <f t="shared" si="18"/>
        <v>755500000</v>
      </c>
      <c r="N198" s="284">
        <f t="shared" si="16"/>
        <v>0.01</v>
      </c>
    </row>
    <row r="199" spans="1:14" s="284" customFormat="1" ht="31.8" hidden="1" x14ac:dyDescent="0.35">
      <c r="A199" s="180"/>
      <c r="B199" s="210"/>
      <c r="C199" s="211"/>
      <c r="D199" s="183" t="s">
        <v>269</v>
      </c>
      <c r="E199" s="182" t="s">
        <v>201</v>
      </c>
      <c r="F199" s="182">
        <v>0.3</v>
      </c>
      <c r="G199" s="206">
        <f>1415000/41</f>
        <v>34512.195121951219</v>
      </c>
      <c r="H199" s="206">
        <f>F199*G199</f>
        <v>10353.658536585366</v>
      </c>
      <c r="I199" s="212"/>
      <c r="J199" s="212"/>
      <c r="K199" s="212">
        <f t="shared" si="17"/>
        <v>0</v>
      </c>
      <c r="L199" s="206"/>
      <c r="M199" s="206">
        <f t="shared" si="18"/>
        <v>0</v>
      </c>
      <c r="N199" s="284" t="e">
        <f t="shared" si="16"/>
        <v>#DIV/0!</v>
      </c>
    </row>
    <row r="200" spans="1:14" s="284" customFormat="1" ht="18" hidden="1" x14ac:dyDescent="0.35">
      <c r="A200" s="180" t="s">
        <v>279</v>
      </c>
      <c r="B200" s="210" t="s">
        <v>116</v>
      </c>
      <c r="C200" s="211" t="s">
        <v>271</v>
      </c>
      <c r="D200" s="205" t="s">
        <v>272</v>
      </c>
      <c r="E200" s="182"/>
      <c r="F200" s="182"/>
      <c r="G200" s="206"/>
      <c r="H200" s="206">
        <f>SUM(H201:H201)</f>
        <v>7258.4592592592599</v>
      </c>
      <c r="I200" s="212">
        <v>7250</v>
      </c>
      <c r="J200" s="212">
        <f>[2]Лист2!S61</f>
        <v>78200</v>
      </c>
      <c r="K200" s="212">
        <f t="shared" si="17"/>
        <v>85450</v>
      </c>
      <c r="L200" s="206">
        <v>15600</v>
      </c>
      <c r="M200" s="206">
        <f t="shared" si="18"/>
        <v>854500000</v>
      </c>
      <c r="N200" s="284">
        <f t="shared" si="16"/>
        <v>0.01</v>
      </c>
    </row>
    <row r="201" spans="1:14" s="284" customFormat="1" ht="18.600000000000001" customHeight="1" x14ac:dyDescent="0.35">
      <c r="A201" s="180" t="s">
        <v>450</v>
      </c>
      <c r="B201" s="210" t="s">
        <v>116</v>
      </c>
      <c r="C201" s="211" t="s">
        <v>312</v>
      </c>
      <c r="D201" s="183" t="s">
        <v>269</v>
      </c>
      <c r="E201" s="182" t="s">
        <v>201</v>
      </c>
      <c r="F201" s="182">
        <v>0.4</v>
      </c>
      <c r="G201" s="206">
        <f>489946/27</f>
        <v>18146.14814814815</v>
      </c>
      <c r="H201" s="206">
        <f>G201*F201</f>
        <v>7258.4592592592599</v>
      </c>
      <c r="I201" s="212">
        <v>0.41</v>
      </c>
      <c r="J201" s="212">
        <f>J175</f>
        <v>5.74</v>
      </c>
      <c r="K201" s="212">
        <f t="shared" si="17"/>
        <v>6.15</v>
      </c>
      <c r="L201" s="206"/>
      <c r="M201" s="206">
        <f t="shared" si="18"/>
        <v>61500</v>
      </c>
      <c r="N201" s="284">
        <f t="shared" si="16"/>
        <v>0.01</v>
      </c>
    </row>
    <row r="202" spans="1:14" s="284" customFormat="1" ht="18.75" hidden="1" customHeight="1" x14ac:dyDescent="0.35">
      <c r="A202" s="180"/>
      <c r="B202" s="210" t="s">
        <v>116</v>
      </c>
      <c r="C202" s="211" t="s">
        <v>273</v>
      </c>
      <c r="D202" s="205" t="s">
        <v>268</v>
      </c>
      <c r="E202" s="182"/>
      <c r="F202" s="182"/>
      <c r="G202" s="206"/>
      <c r="H202" s="206">
        <f>H203</f>
        <v>30709.600000000002</v>
      </c>
      <c r="I202" s="212">
        <v>30700</v>
      </c>
      <c r="J202" s="212">
        <f>J200</f>
        <v>78200</v>
      </c>
      <c r="K202" s="212">
        <f t="shared" si="17"/>
        <v>108900</v>
      </c>
      <c r="L202" s="206">
        <v>16830</v>
      </c>
      <c r="M202" s="206">
        <f t="shared" si="18"/>
        <v>1089000000</v>
      </c>
      <c r="N202" s="284">
        <f t="shared" si="16"/>
        <v>0.01</v>
      </c>
    </row>
    <row r="203" spans="1:14" s="284" customFormat="1" ht="56.25" hidden="1" customHeight="1" x14ac:dyDescent="0.35">
      <c r="A203" s="180"/>
      <c r="B203" s="181"/>
      <c r="C203" s="211"/>
      <c r="D203" s="183" t="s">
        <v>269</v>
      </c>
      <c r="E203" s="182" t="s">
        <v>201</v>
      </c>
      <c r="F203" s="182">
        <v>0.4</v>
      </c>
      <c r="G203" s="206">
        <f>307096/4</f>
        <v>76774</v>
      </c>
      <c r="H203" s="206">
        <f>G203*F203</f>
        <v>30709.600000000002</v>
      </c>
      <c r="I203" s="212"/>
      <c r="J203" s="212"/>
      <c r="K203" s="212">
        <f t="shared" si="17"/>
        <v>0</v>
      </c>
      <c r="L203" s="206"/>
      <c r="M203" s="206">
        <f t="shared" si="18"/>
        <v>0</v>
      </c>
      <c r="N203" s="284" t="e">
        <f t="shared" si="16"/>
        <v>#DIV/0!</v>
      </c>
    </row>
    <row r="204" spans="1:14" s="284" customFormat="1" ht="18.75" hidden="1" customHeight="1" x14ac:dyDescent="0.35">
      <c r="A204" s="180"/>
      <c r="B204" s="210" t="s">
        <v>116</v>
      </c>
      <c r="C204" s="211" t="s">
        <v>274</v>
      </c>
      <c r="D204" s="205" t="s">
        <v>275</v>
      </c>
      <c r="E204" s="182"/>
      <c r="F204" s="182"/>
      <c r="G204" s="206"/>
      <c r="H204" s="206">
        <f>H205</f>
        <v>13804.878048780489</v>
      </c>
      <c r="I204" s="212">
        <v>13800</v>
      </c>
      <c r="J204" s="212">
        <f>J202</f>
        <v>78200</v>
      </c>
      <c r="K204" s="212">
        <f t="shared" si="17"/>
        <v>92000</v>
      </c>
      <c r="L204" s="206">
        <v>16830</v>
      </c>
      <c r="M204" s="206">
        <f t="shared" si="18"/>
        <v>920000000</v>
      </c>
      <c r="N204" s="284">
        <f t="shared" si="16"/>
        <v>0.01</v>
      </c>
    </row>
    <row r="205" spans="1:14" s="284" customFormat="1" ht="56.25" hidden="1" customHeight="1" x14ac:dyDescent="0.35">
      <c r="A205" s="180"/>
      <c r="B205" s="181"/>
      <c r="C205" s="211"/>
      <c r="D205" s="183" t="s">
        <v>269</v>
      </c>
      <c r="E205" s="182" t="s">
        <v>201</v>
      </c>
      <c r="F205" s="182">
        <v>0.4</v>
      </c>
      <c r="G205" s="206">
        <f>1415000/41</f>
        <v>34512.195121951219</v>
      </c>
      <c r="H205" s="206">
        <f>G205*F205</f>
        <v>13804.878048780489</v>
      </c>
      <c r="I205" s="212"/>
      <c r="J205" s="212"/>
      <c r="K205" s="212">
        <f t="shared" si="17"/>
        <v>0</v>
      </c>
      <c r="L205" s="206"/>
      <c r="M205" s="206">
        <f t="shared" si="18"/>
        <v>0</v>
      </c>
      <c r="N205" s="284" t="e">
        <f t="shared" si="16"/>
        <v>#DIV/0!</v>
      </c>
    </row>
    <row r="206" spans="1:14" s="284" customFormat="1" ht="18" hidden="1" x14ac:dyDescent="0.35">
      <c r="A206" s="180" t="s">
        <v>280</v>
      </c>
      <c r="B206" s="210" t="s">
        <v>118</v>
      </c>
      <c r="C206" s="211" t="s">
        <v>271</v>
      </c>
      <c r="D206" s="205" t="s">
        <v>272</v>
      </c>
      <c r="E206" s="182"/>
      <c r="F206" s="182"/>
      <c r="G206" s="206"/>
      <c r="H206" s="206">
        <f>SUM(H207:H207)</f>
        <v>9073.0740740740748</v>
      </c>
      <c r="I206" s="212">
        <v>9050</v>
      </c>
      <c r="J206" s="212">
        <f>[2]Лист2!S62</f>
        <v>91300</v>
      </c>
      <c r="K206" s="212">
        <f t="shared" si="17"/>
        <v>100350</v>
      </c>
      <c r="L206" s="206">
        <v>19020</v>
      </c>
      <c r="M206" s="206">
        <f t="shared" si="18"/>
        <v>1003500000</v>
      </c>
      <c r="N206" s="284">
        <f t="shared" si="16"/>
        <v>0.01</v>
      </c>
    </row>
    <row r="207" spans="1:14" s="284" customFormat="1" ht="22.8" customHeight="1" x14ac:dyDescent="0.35">
      <c r="A207" s="180" t="s">
        <v>117</v>
      </c>
      <c r="B207" s="210" t="s">
        <v>118</v>
      </c>
      <c r="C207" s="211" t="s">
        <v>312</v>
      </c>
      <c r="D207" s="183" t="s">
        <v>269</v>
      </c>
      <c r="E207" s="182" t="s">
        <v>201</v>
      </c>
      <c r="F207" s="182">
        <v>0.5</v>
      </c>
      <c r="G207" s="206">
        <f>489946/27</f>
        <v>18146.14814814815</v>
      </c>
      <c r="H207" s="206">
        <f>G207*F207</f>
        <v>9073.0740740740748</v>
      </c>
      <c r="I207" s="212">
        <v>0.51</v>
      </c>
      <c r="J207" s="212">
        <f>J177</f>
        <v>7.82</v>
      </c>
      <c r="K207" s="212">
        <f t="shared" si="17"/>
        <v>8.33</v>
      </c>
      <c r="L207" s="206"/>
      <c r="M207" s="206">
        <f t="shared" si="18"/>
        <v>83300</v>
      </c>
      <c r="N207" s="284">
        <f t="shared" si="16"/>
        <v>0.01</v>
      </c>
    </row>
    <row r="208" spans="1:14" s="284" customFormat="1" ht="18" hidden="1" x14ac:dyDescent="0.35">
      <c r="A208" s="184"/>
      <c r="B208" s="185" t="s">
        <v>118</v>
      </c>
      <c r="C208" s="198" t="s">
        <v>273</v>
      </c>
      <c r="D208" s="199" t="s">
        <v>268</v>
      </c>
      <c r="E208" s="186"/>
      <c r="F208" s="186"/>
      <c r="G208" s="188"/>
      <c r="H208" s="188">
        <f>H209</f>
        <v>38387</v>
      </c>
      <c r="I208" s="194">
        <v>38400</v>
      </c>
      <c r="J208" s="194">
        <f>J206</f>
        <v>91300</v>
      </c>
      <c r="K208" s="194">
        <f t="shared" si="17"/>
        <v>129700</v>
      </c>
      <c r="L208" s="176">
        <v>20560</v>
      </c>
      <c r="M208" s="176">
        <f t="shared" si="18"/>
        <v>1297000000</v>
      </c>
      <c r="N208" s="284">
        <f t="shared" si="16"/>
        <v>0.01</v>
      </c>
    </row>
    <row r="209" spans="1:14" s="284" customFormat="1" ht="31.8" hidden="1" x14ac:dyDescent="0.35">
      <c r="A209" s="184"/>
      <c r="B209" s="189"/>
      <c r="C209" s="198"/>
      <c r="D209" s="187" t="s">
        <v>269</v>
      </c>
      <c r="E209" s="186" t="s">
        <v>201</v>
      </c>
      <c r="F209" s="186">
        <v>0.5</v>
      </c>
      <c r="G209" s="188">
        <f>307096/4</f>
        <v>76774</v>
      </c>
      <c r="H209" s="188">
        <f>G209*F209</f>
        <v>38387</v>
      </c>
      <c r="I209" s="194"/>
      <c r="J209" s="194"/>
      <c r="K209" s="194">
        <f t="shared" si="17"/>
        <v>0</v>
      </c>
      <c r="L209" s="176"/>
      <c r="M209" s="176">
        <f t="shared" si="18"/>
        <v>0</v>
      </c>
      <c r="N209" s="284" t="e">
        <f t="shared" si="16"/>
        <v>#DIV/0!</v>
      </c>
    </row>
    <row r="210" spans="1:14" s="284" customFormat="1" ht="18" hidden="1" x14ac:dyDescent="0.35">
      <c r="A210" s="184"/>
      <c r="B210" s="185" t="s">
        <v>118</v>
      </c>
      <c r="C210" s="198" t="s">
        <v>274</v>
      </c>
      <c r="D210" s="199" t="s">
        <v>275</v>
      </c>
      <c r="E210" s="186"/>
      <c r="F210" s="186"/>
      <c r="G210" s="188"/>
      <c r="H210" s="188">
        <f>H211</f>
        <v>17256.09756097561</v>
      </c>
      <c r="I210" s="194">
        <v>17250</v>
      </c>
      <c r="J210" s="194">
        <f>J208</f>
        <v>91300</v>
      </c>
      <c r="K210" s="194">
        <f t="shared" si="17"/>
        <v>108550</v>
      </c>
      <c r="L210" s="176">
        <v>20560</v>
      </c>
      <c r="M210" s="176">
        <f t="shared" si="18"/>
        <v>1085500000</v>
      </c>
      <c r="N210" s="284">
        <f t="shared" si="16"/>
        <v>0.01</v>
      </c>
    </row>
    <row r="211" spans="1:14" s="284" customFormat="1" ht="31.8" hidden="1" x14ac:dyDescent="0.35">
      <c r="A211" s="184"/>
      <c r="B211" s="189"/>
      <c r="C211" s="198"/>
      <c r="D211" s="187" t="s">
        <v>269</v>
      </c>
      <c r="E211" s="186" t="s">
        <v>201</v>
      </c>
      <c r="F211" s="186">
        <v>0.5</v>
      </c>
      <c r="G211" s="188">
        <f>1415000/41</f>
        <v>34512.195121951219</v>
      </c>
      <c r="H211" s="188">
        <f>G211*F211</f>
        <v>17256.09756097561</v>
      </c>
      <c r="I211" s="194"/>
      <c r="J211" s="194"/>
      <c r="K211" s="194">
        <f t="shared" si="17"/>
        <v>0</v>
      </c>
      <c r="L211" s="176"/>
      <c r="M211" s="176">
        <f t="shared" si="18"/>
        <v>0</v>
      </c>
      <c r="N211" s="284" t="e">
        <f t="shared" si="16"/>
        <v>#DIV/0!</v>
      </c>
    </row>
    <row r="212" spans="1:14" s="284" customFormat="1" ht="90" x14ac:dyDescent="0.35">
      <c r="A212" s="172" t="s">
        <v>121</v>
      </c>
      <c r="B212" s="173" t="s">
        <v>122</v>
      </c>
      <c r="C212" s="202" t="s">
        <v>123</v>
      </c>
      <c r="D212" s="178"/>
      <c r="E212" s="174"/>
      <c r="F212" s="174"/>
      <c r="G212" s="176"/>
      <c r="H212" s="176"/>
      <c r="I212" s="177"/>
      <c r="J212" s="177"/>
      <c r="K212" s="177"/>
      <c r="L212" s="176"/>
      <c r="M212" s="176"/>
    </row>
    <row r="213" spans="1:14" s="284" customFormat="1" ht="36" x14ac:dyDescent="0.35">
      <c r="A213" s="172" t="s">
        <v>124</v>
      </c>
      <c r="B213" s="173" t="s">
        <v>111</v>
      </c>
      <c r="C213" s="174" t="s">
        <v>51</v>
      </c>
      <c r="D213" s="203" t="s">
        <v>229</v>
      </c>
      <c r="E213" s="174"/>
      <c r="F213" s="174"/>
      <c r="G213" s="176"/>
      <c r="H213" s="176">
        <f>SUM(H214:H214)</f>
        <v>8061.5519999999997</v>
      </c>
      <c r="I213" s="212">
        <v>0.81</v>
      </c>
      <c r="J213" s="212">
        <v>5.22</v>
      </c>
      <c r="K213" s="212">
        <f t="shared" ref="K213:K232" si="19">J213+I213</f>
        <v>6.0299999999999994</v>
      </c>
      <c r="L213" s="206">
        <v>5530</v>
      </c>
      <c r="M213" s="206">
        <v>60300</v>
      </c>
      <c r="N213" s="284">
        <f>K213/M213*100</f>
        <v>9.9999999999999985E-3</v>
      </c>
    </row>
    <row r="214" spans="1:14" s="284" customFormat="1" ht="18" hidden="1" x14ac:dyDescent="0.35">
      <c r="A214" s="172"/>
      <c r="B214" s="170"/>
      <c r="C214" s="174" t="s">
        <v>51</v>
      </c>
      <c r="D214" s="178" t="s">
        <v>281</v>
      </c>
      <c r="E214" s="174" t="s">
        <v>201</v>
      </c>
      <c r="F214" s="174">
        <v>0.3</v>
      </c>
      <c r="G214" s="179">
        <f>335898/12.5</f>
        <v>26871.84</v>
      </c>
      <c r="H214" s="176">
        <f>G214*F214</f>
        <v>8061.5519999999997</v>
      </c>
      <c r="I214" s="212"/>
      <c r="J214" s="212"/>
      <c r="K214" s="212">
        <f t="shared" si="19"/>
        <v>0</v>
      </c>
      <c r="L214" s="206"/>
      <c r="M214" s="206"/>
    </row>
    <row r="215" spans="1:14" s="284" customFormat="1" ht="18" x14ac:dyDescent="0.35">
      <c r="A215" s="172" t="s">
        <v>125</v>
      </c>
      <c r="B215" s="173" t="s">
        <v>114</v>
      </c>
      <c r="C215" s="174" t="s">
        <v>51</v>
      </c>
      <c r="D215" s="203" t="s">
        <v>229</v>
      </c>
      <c r="E215" s="174"/>
      <c r="F215" s="174"/>
      <c r="G215" s="176"/>
      <c r="H215" s="176">
        <f>SUM(H216:H216)</f>
        <v>10748.736000000001</v>
      </c>
      <c r="I215" s="212">
        <v>1.08</v>
      </c>
      <c r="J215" s="212">
        <v>6.52</v>
      </c>
      <c r="K215" s="212">
        <f t="shared" si="19"/>
        <v>7.6</v>
      </c>
      <c r="L215" s="206">
        <v>6610</v>
      </c>
      <c r="M215" s="206">
        <v>76000</v>
      </c>
      <c r="N215" s="284">
        <f>K215/M215*100</f>
        <v>9.9999999999999985E-3</v>
      </c>
    </row>
    <row r="216" spans="1:14" s="284" customFormat="1" ht="18.600000000000001" hidden="1" customHeight="1" x14ac:dyDescent="0.35">
      <c r="A216" s="172"/>
      <c r="B216" s="170"/>
      <c r="C216" s="174" t="s">
        <v>51</v>
      </c>
      <c r="D216" s="178" t="s">
        <v>281</v>
      </c>
      <c r="E216" s="174" t="s">
        <v>201</v>
      </c>
      <c r="F216" s="174">
        <v>0.4</v>
      </c>
      <c r="G216" s="192">
        <f>G214</f>
        <v>26871.84</v>
      </c>
      <c r="H216" s="176">
        <f>G216*F216</f>
        <v>10748.736000000001</v>
      </c>
      <c r="I216" s="212"/>
      <c r="J216" s="212"/>
      <c r="K216" s="212">
        <f t="shared" si="19"/>
        <v>0</v>
      </c>
      <c r="L216" s="206"/>
      <c r="M216" s="206"/>
    </row>
    <row r="217" spans="1:14" s="284" customFormat="1" ht="18" x14ac:dyDescent="0.35">
      <c r="A217" s="172" t="s">
        <v>126</v>
      </c>
      <c r="B217" s="173" t="s">
        <v>116</v>
      </c>
      <c r="C217" s="174" t="s">
        <v>51</v>
      </c>
      <c r="D217" s="203" t="s">
        <v>229</v>
      </c>
      <c r="E217" s="174"/>
      <c r="F217" s="174"/>
      <c r="G217" s="176"/>
      <c r="H217" s="176">
        <f>SUM(H218:H218)</f>
        <v>13435.92</v>
      </c>
      <c r="I217" s="212">
        <v>1.35</v>
      </c>
      <c r="J217" s="212">
        <v>7.82</v>
      </c>
      <c r="K217" s="212">
        <f t="shared" si="19"/>
        <v>9.17</v>
      </c>
      <c r="L217" s="206">
        <v>8450</v>
      </c>
      <c r="M217" s="206">
        <v>91700</v>
      </c>
      <c r="N217" s="284">
        <f>K217/M217*100</f>
        <v>0.01</v>
      </c>
    </row>
    <row r="218" spans="1:14" s="284" customFormat="1" ht="18" hidden="1" x14ac:dyDescent="0.35">
      <c r="A218" s="172"/>
      <c r="B218" s="170"/>
      <c r="C218" s="174" t="s">
        <v>51</v>
      </c>
      <c r="D218" s="178" t="s">
        <v>281</v>
      </c>
      <c r="E218" s="174" t="s">
        <v>201</v>
      </c>
      <c r="F218" s="174">
        <v>0.5</v>
      </c>
      <c r="G218" s="192">
        <f>G214</f>
        <v>26871.84</v>
      </c>
      <c r="H218" s="176">
        <f>G218*F218</f>
        <v>13435.92</v>
      </c>
      <c r="I218" s="212"/>
      <c r="J218" s="212"/>
      <c r="K218" s="212">
        <f t="shared" si="19"/>
        <v>0</v>
      </c>
      <c r="L218" s="206"/>
      <c r="M218" s="206"/>
    </row>
    <row r="219" spans="1:14" s="284" customFormat="1" ht="18" x14ac:dyDescent="0.35">
      <c r="A219" s="172" t="s">
        <v>127</v>
      </c>
      <c r="B219" s="173" t="s">
        <v>118</v>
      </c>
      <c r="C219" s="174" t="s">
        <v>51</v>
      </c>
      <c r="D219" s="203" t="s">
        <v>229</v>
      </c>
      <c r="E219" s="174"/>
      <c r="F219" s="174"/>
      <c r="G219" s="176"/>
      <c r="H219" s="176">
        <f>SUM(H220:H220)</f>
        <v>16123.103999999999</v>
      </c>
      <c r="I219" s="212">
        <v>1.61</v>
      </c>
      <c r="J219" s="212">
        <v>9.1300000000000008</v>
      </c>
      <c r="K219" s="212">
        <f t="shared" si="19"/>
        <v>10.74</v>
      </c>
      <c r="L219" s="206">
        <v>10290</v>
      </c>
      <c r="M219" s="206">
        <v>107400</v>
      </c>
      <c r="N219" s="284">
        <f>K219/M219*100</f>
        <v>0.01</v>
      </c>
    </row>
    <row r="220" spans="1:14" s="284" customFormat="1" ht="18" hidden="1" x14ac:dyDescent="0.35">
      <c r="A220" s="172"/>
      <c r="B220" s="170"/>
      <c r="C220" s="174"/>
      <c r="D220" s="178" t="s">
        <v>281</v>
      </c>
      <c r="E220" s="174" t="s">
        <v>201</v>
      </c>
      <c r="F220" s="174">
        <v>0.6</v>
      </c>
      <c r="G220" s="192">
        <f>G214</f>
        <v>26871.84</v>
      </c>
      <c r="H220" s="176">
        <f>G220*F220</f>
        <v>16123.103999999999</v>
      </c>
      <c r="I220" s="212"/>
      <c r="J220" s="212"/>
      <c r="K220" s="212">
        <f t="shared" si="19"/>
        <v>0</v>
      </c>
      <c r="L220" s="206"/>
      <c r="M220" s="206"/>
    </row>
    <row r="221" spans="1:14" s="284" customFormat="1" ht="36" x14ac:dyDescent="0.35">
      <c r="A221" s="172" t="s">
        <v>128</v>
      </c>
      <c r="B221" s="173" t="s">
        <v>129</v>
      </c>
      <c r="C221" s="174" t="s">
        <v>51</v>
      </c>
      <c r="D221" s="178"/>
      <c r="E221" s="174"/>
      <c r="F221" s="174"/>
      <c r="G221" s="176"/>
      <c r="H221" s="176">
        <f>H222</f>
        <v>3081</v>
      </c>
      <c r="I221" s="212">
        <v>0.31</v>
      </c>
      <c r="J221" s="212">
        <v>5.22</v>
      </c>
      <c r="K221" s="212">
        <f t="shared" si="19"/>
        <v>5.5299999999999994</v>
      </c>
      <c r="L221" s="206">
        <v>11504</v>
      </c>
      <c r="M221" s="206">
        <v>55300</v>
      </c>
      <c r="N221" s="284">
        <f>K221/M221*100</f>
        <v>9.9999999999999985E-3</v>
      </c>
    </row>
    <row r="222" spans="1:14" s="284" customFormat="1" ht="18" hidden="1" x14ac:dyDescent="0.35">
      <c r="A222" s="172"/>
      <c r="B222" s="170"/>
      <c r="C222" s="174"/>
      <c r="D222" s="178" t="s">
        <v>194</v>
      </c>
      <c r="E222" s="174" t="s">
        <v>185</v>
      </c>
      <c r="F222" s="174">
        <v>0.3</v>
      </c>
      <c r="G222" s="176">
        <v>10270</v>
      </c>
      <c r="H222" s="176">
        <f>G222*F222</f>
        <v>3081</v>
      </c>
      <c r="I222" s="212"/>
      <c r="J222" s="212"/>
      <c r="K222" s="212">
        <f t="shared" si="19"/>
        <v>0</v>
      </c>
      <c r="L222" s="206"/>
      <c r="M222" s="206"/>
    </row>
    <row r="223" spans="1:14" s="284" customFormat="1" ht="36" hidden="1" x14ac:dyDescent="0.35">
      <c r="A223" s="184" t="s">
        <v>282</v>
      </c>
      <c r="B223" s="185" t="s">
        <v>283</v>
      </c>
      <c r="C223" s="186" t="s">
        <v>51</v>
      </c>
      <c r="D223" s="187"/>
      <c r="E223" s="186"/>
      <c r="F223" s="186"/>
      <c r="G223" s="188"/>
      <c r="H223" s="188">
        <f>H224</f>
        <v>3081</v>
      </c>
      <c r="I223" s="212">
        <v>3100</v>
      </c>
      <c r="J223" s="212">
        <f>[2]Лист2!S69</f>
        <v>26100</v>
      </c>
      <c r="K223" s="212">
        <f t="shared" si="19"/>
        <v>29200</v>
      </c>
      <c r="L223" s="206">
        <v>5760</v>
      </c>
      <c r="M223" s="206">
        <v>24950</v>
      </c>
      <c r="N223" s="284">
        <f t="shared" ref="N223:N231" si="20">K223/M223*100</f>
        <v>117.03406813627255</v>
      </c>
    </row>
    <row r="224" spans="1:14" s="284" customFormat="1" ht="18" hidden="1" x14ac:dyDescent="0.35">
      <c r="A224" s="184"/>
      <c r="B224" s="189"/>
      <c r="C224" s="186"/>
      <c r="D224" s="187" t="s">
        <v>194</v>
      </c>
      <c r="E224" s="186" t="s">
        <v>185</v>
      </c>
      <c r="F224" s="186">
        <v>0.3</v>
      </c>
      <c r="G224" s="188">
        <v>10270</v>
      </c>
      <c r="H224" s="188">
        <f>G224*F224</f>
        <v>3081</v>
      </c>
      <c r="I224" s="212"/>
      <c r="J224" s="212"/>
      <c r="K224" s="212">
        <f t="shared" si="19"/>
        <v>0</v>
      </c>
      <c r="L224" s="206"/>
      <c r="M224" s="206">
        <v>0</v>
      </c>
      <c r="N224" s="284" t="e">
        <f t="shared" si="20"/>
        <v>#DIV/0!</v>
      </c>
    </row>
    <row r="225" spans="1:14" s="284" customFormat="1" ht="54" hidden="1" x14ac:dyDescent="0.35">
      <c r="A225" s="184" t="s">
        <v>284</v>
      </c>
      <c r="B225" s="185" t="s">
        <v>285</v>
      </c>
      <c r="C225" s="186" t="s">
        <v>51</v>
      </c>
      <c r="D225" s="187"/>
      <c r="E225" s="186"/>
      <c r="F225" s="186"/>
      <c r="G225" s="188"/>
      <c r="H225" s="188">
        <f>H226</f>
        <v>3081</v>
      </c>
      <c r="I225" s="212">
        <v>3100</v>
      </c>
      <c r="J225" s="212">
        <f>[2]Лист2!S70</f>
        <v>39100</v>
      </c>
      <c r="K225" s="212">
        <f t="shared" si="19"/>
        <v>42200</v>
      </c>
      <c r="L225" s="206">
        <v>7680</v>
      </c>
      <c r="M225" s="206">
        <v>35900</v>
      </c>
      <c r="N225" s="284">
        <f t="shared" si="20"/>
        <v>117.54874651810584</v>
      </c>
    </row>
    <row r="226" spans="1:14" s="284" customFormat="1" ht="18" hidden="1" x14ac:dyDescent="0.35">
      <c r="A226" s="184"/>
      <c r="B226" s="189"/>
      <c r="C226" s="186"/>
      <c r="D226" s="187" t="s">
        <v>194</v>
      </c>
      <c r="E226" s="186" t="s">
        <v>185</v>
      </c>
      <c r="F226" s="186">
        <v>0.3</v>
      </c>
      <c r="G226" s="188">
        <v>10270</v>
      </c>
      <c r="H226" s="188">
        <f>G226*F226</f>
        <v>3081</v>
      </c>
      <c r="I226" s="212"/>
      <c r="J226" s="212"/>
      <c r="K226" s="212">
        <f t="shared" si="19"/>
        <v>0</v>
      </c>
      <c r="L226" s="206"/>
      <c r="M226" s="206">
        <v>0</v>
      </c>
      <c r="N226" s="284" t="e">
        <f t="shared" si="20"/>
        <v>#DIV/0!</v>
      </c>
    </row>
    <row r="227" spans="1:14" s="284" customFormat="1" ht="54" hidden="1" x14ac:dyDescent="0.35">
      <c r="A227" s="184" t="s">
        <v>286</v>
      </c>
      <c r="B227" s="185" t="s">
        <v>287</v>
      </c>
      <c r="C227" s="186" t="s">
        <v>51</v>
      </c>
      <c r="D227" s="187"/>
      <c r="E227" s="186"/>
      <c r="F227" s="186"/>
      <c r="G227" s="188"/>
      <c r="H227" s="188">
        <f>H228</f>
        <v>3081</v>
      </c>
      <c r="I227" s="212">
        <v>3100</v>
      </c>
      <c r="J227" s="212">
        <f>[2]Лист2!S71</f>
        <v>65200</v>
      </c>
      <c r="K227" s="212">
        <f t="shared" si="19"/>
        <v>68300</v>
      </c>
      <c r="L227" s="206">
        <v>11500</v>
      </c>
      <c r="M227" s="206">
        <v>57750</v>
      </c>
      <c r="N227" s="284">
        <f t="shared" si="20"/>
        <v>118.26839826839827</v>
      </c>
    </row>
    <row r="228" spans="1:14" s="284" customFormat="1" ht="28.5" hidden="1" customHeight="1" x14ac:dyDescent="0.35">
      <c r="A228" s="184"/>
      <c r="B228" s="189"/>
      <c r="C228" s="186"/>
      <c r="D228" s="187" t="s">
        <v>194</v>
      </c>
      <c r="E228" s="186" t="s">
        <v>185</v>
      </c>
      <c r="F228" s="186">
        <v>0.3</v>
      </c>
      <c r="G228" s="188">
        <v>10270</v>
      </c>
      <c r="H228" s="188">
        <f>G228*F228</f>
        <v>3081</v>
      </c>
      <c r="I228" s="212"/>
      <c r="J228" s="212"/>
      <c r="K228" s="212">
        <f t="shared" si="19"/>
        <v>0</v>
      </c>
      <c r="L228" s="206"/>
      <c r="M228" s="206">
        <v>0</v>
      </c>
      <c r="N228" s="284" t="e">
        <f t="shared" si="20"/>
        <v>#DIV/0!</v>
      </c>
    </row>
    <row r="229" spans="1:14" s="284" customFormat="1" ht="54" hidden="1" x14ac:dyDescent="0.35">
      <c r="A229" s="184" t="s">
        <v>288</v>
      </c>
      <c r="B229" s="185" t="s">
        <v>289</v>
      </c>
      <c r="C229" s="186" t="s">
        <v>51</v>
      </c>
      <c r="D229" s="187"/>
      <c r="E229" s="186"/>
      <c r="F229" s="186"/>
      <c r="G229" s="188"/>
      <c r="H229" s="188">
        <f>H230</f>
        <v>3081</v>
      </c>
      <c r="I229" s="212">
        <v>3100</v>
      </c>
      <c r="J229" s="212">
        <f>[2]Лист2!S72</f>
        <v>78200</v>
      </c>
      <c r="K229" s="212">
        <f t="shared" si="19"/>
        <v>81300</v>
      </c>
      <c r="L229" s="206">
        <v>15330</v>
      </c>
      <c r="M229" s="206">
        <v>68650</v>
      </c>
      <c r="N229" s="284">
        <f t="shared" si="20"/>
        <v>118.42680262199563</v>
      </c>
    </row>
    <row r="230" spans="1:14" s="284" customFormat="1" ht="18" hidden="1" x14ac:dyDescent="0.35">
      <c r="A230" s="184"/>
      <c r="B230" s="189"/>
      <c r="C230" s="186"/>
      <c r="D230" s="187" t="s">
        <v>194</v>
      </c>
      <c r="E230" s="186" t="s">
        <v>185</v>
      </c>
      <c r="F230" s="186">
        <v>0.3</v>
      </c>
      <c r="G230" s="188">
        <v>10270</v>
      </c>
      <c r="H230" s="188">
        <f>G230*F230</f>
        <v>3081</v>
      </c>
      <c r="I230" s="212"/>
      <c r="J230" s="212"/>
      <c r="K230" s="212">
        <f t="shared" si="19"/>
        <v>0</v>
      </c>
      <c r="L230" s="206"/>
      <c r="M230" s="206">
        <v>0</v>
      </c>
      <c r="N230" s="284" t="e">
        <f t="shared" si="20"/>
        <v>#DIV/0!</v>
      </c>
    </row>
    <row r="231" spans="1:14" s="284" customFormat="1" ht="18" x14ac:dyDescent="0.35">
      <c r="A231" s="172" t="s">
        <v>130</v>
      </c>
      <c r="B231" s="173" t="s">
        <v>131</v>
      </c>
      <c r="C231" s="174" t="s">
        <v>51</v>
      </c>
      <c r="D231" s="178"/>
      <c r="E231" s="174"/>
      <c r="F231" s="174"/>
      <c r="G231" s="176"/>
      <c r="H231" s="176">
        <f>H232+H233</f>
        <v>1121.5999999999999</v>
      </c>
      <c r="I231" s="212">
        <v>0.11</v>
      </c>
      <c r="J231" s="212">
        <v>1.04</v>
      </c>
      <c r="K231" s="212">
        <f t="shared" si="19"/>
        <v>1.1500000000000001</v>
      </c>
      <c r="L231" s="206">
        <v>1710</v>
      </c>
      <c r="M231" s="206">
        <v>11500</v>
      </c>
      <c r="N231" s="284">
        <f t="shared" si="20"/>
        <v>1.0000000000000002E-2</v>
      </c>
    </row>
    <row r="232" spans="1:14" s="284" customFormat="1" ht="18" hidden="1" x14ac:dyDescent="0.35">
      <c r="A232" s="172"/>
      <c r="B232" s="170"/>
      <c r="C232" s="174"/>
      <c r="D232" s="183" t="s">
        <v>290</v>
      </c>
      <c r="E232" s="182" t="s">
        <v>291</v>
      </c>
      <c r="F232" s="213" t="s">
        <v>292</v>
      </c>
      <c r="G232" s="176">
        <v>941</v>
      </c>
      <c r="H232" s="176">
        <f>G232*F232</f>
        <v>941</v>
      </c>
      <c r="I232" s="212"/>
      <c r="J232" s="212"/>
      <c r="K232" s="212">
        <f t="shared" si="19"/>
        <v>0</v>
      </c>
      <c r="L232" s="206"/>
      <c r="M232" s="206"/>
    </row>
    <row r="233" spans="1:14" s="284" customFormat="1" ht="18" hidden="1" x14ac:dyDescent="0.35">
      <c r="A233" s="172"/>
      <c r="B233" s="170"/>
      <c r="C233" s="174"/>
      <c r="D233" s="183" t="s">
        <v>293</v>
      </c>
      <c r="E233" s="182" t="s">
        <v>185</v>
      </c>
      <c r="F233" s="213" t="s">
        <v>292</v>
      </c>
      <c r="G233" s="176">
        <f>18060/100</f>
        <v>180.6</v>
      </c>
      <c r="H233" s="176">
        <f>G233*F233</f>
        <v>180.6</v>
      </c>
      <c r="I233" s="212"/>
      <c r="J233" s="212"/>
      <c r="K233" s="212"/>
      <c r="L233" s="206"/>
      <c r="M233" s="206"/>
    </row>
    <row r="234" spans="1:14" s="284" customFormat="1" ht="36" x14ac:dyDescent="0.35">
      <c r="A234" s="172" t="s">
        <v>119</v>
      </c>
      <c r="B234" s="173" t="s">
        <v>132</v>
      </c>
      <c r="C234" s="174"/>
      <c r="D234" s="178"/>
      <c r="E234" s="174"/>
      <c r="F234" s="174"/>
      <c r="G234" s="176"/>
      <c r="H234" s="176"/>
      <c r="I234" s="212"/>
      <c r="J234" s="212"/>
      <c r="K234" s="212"/>
      <c r="L234" s="206"/>
      <c r="M234" s="206"/>
    </row>
    <row r="235" spans="1:14" s="284" customFormat="1" ht="18" hidden="1" x14ac:dyDescent="0.35">
      <c r="A235" s="184" t="s">
        <v>362</v>
      </c>
      <c r="B235" s="185" t="s">
        <v>294</v>
      </c>
      <c r="C235" s="186" t="s">
        <v>51</v>
      </c>
      <c r="D235" s="187"/>
      <c r="E235" s="186"/>
      <c r="F235" s="186"/>
      <c r="G235" s="188"/>
      <c r="H235" s="188">
        <f>SUM(H236:H244)</f>
        <v>5472.7391666666663</v>
      </c>
      <c r="I235" s="212">
        <v>5500</v>
      </c>
      <c r="J235" s="212">
        <f>[2]Лист2!S75</f>
        <v>20900</v>
      </c>
      <c r="K235" s="212">
        <f t="shared" ref="K235:K242" si="21">J235+I235</f>
        <v>26400</v>
      </c>
      <c r="L235" s="206">
        <v>7970</v>
      </c>
      <c r="M235" s="206">
        <v>23000</v>
      </c>
      <c r="N235" s="284">
        <f t="shared" ref="N235:N246" si="22">K235/M235*100</f>
        <v>114.78260869565217</v>
      </c>
    </row>
    <row r="236" spans="1:14" s="284" customFormat="1" ht="18" hidden="1" x14ac:dyDescent="0.35">
      <c r="A236" s="184"/>
      <c r="B236" s="189"/>
      <c r="C236" s="186"/>
      <c r="D236" s="187" t="s">
        <v>198</v>
      </c>
      <c r="E236" s="186" t="s">
        <v>185</v>
      </c>
      <c r="F236" s="186">
        <v>0.1</v>
      </c>
      <c r="G236" s="188">
        <v>4320</v>
      </c>
      <c r="H236" s="188">
        <f t="shared" ref="H236:H244" si="23">G236*F236</f>
        <v>432</v>
      </c>
      <c r="I236" s="212"/>
      <c r="J236" s="212"/>
      <c r="K236" s="212">
        <f t="shared" si="21"/>
        <v>0</v>
      </c>
      <c r="L236" s="206"/>
      <c r="M236" s="206">
        <v>0</v>
      </c>
      <c r="N236" s="284" t="e">
        <f t="shared" si="22"/>
        <v>#DIV/0!</v>
      </c>
    </row>
    <row r="237" spans="1:14" s="284" customFormat="1" ht="31.8" hidden="1" x14ac:dyDescent="0.35">
      <c r="A237" s="184"/>
      <c r="B237" s="189"/>
      <c r="C237" s="186"/>
      <c r="D237" s="187" t="s">
        <v>199</v>
      </c>
      <c r="E237" s="186" t="s">
        <v>185</v>
      </c>
      <c r="F237" s="186">
        <v>0.2</v>
      </c>
      <c r="G237" s="188">
        <v>1320</v>
      </c>
      <c r="H237" s="188">
        <f t="shared" si="23"/>
        <v>264</v>
      </c>
      <c r="I237" s="212"/>
      <c r="J237" s="212"/>
      <c r="K237" s="212">
        <f t="shared" si="21"/>
        <v>0</v>
      </c>
      <c r="L237" s="206"/>
      <c r="M237" s="206">
        <v>0</v>
      </c>
      <c r="N237" s="284" t="e">
        <f t="shared" si="22"/>
        <v>#DIV/0!</v>
      </c>
    </row>
    <row r="238" spans="1:14" s="284" customFormat="1" ht="31.8" hidden="1" x14ac:dyDescent="0.35">
      <c r="A238" s="184"/>
      <c r="B238" s="189"/>
      <c r="C238" s="186"/>
      <c r="D238" s="187" t="s">
        <v>200</v>
      </c>
      <c r="E238" s="186" t="s">
        <v>201</v>
      </c>
      <c r="F238" s="186">
        <v>0.2</v>
      </c>
      <c r="G238" s="188">
        <f>29876/120</f>
        <v>248.96666666666667</v>
      </c>
      <c r="H238" s="188">
        <f t="shared" si="23"/>
        <v>49.793333333333337</v>
      </c>
      <c r="I238" s="212"/>
      <c r="J238" s="212"/>
      <c r="K238" s="212">
        <f t="shared" si="21"/>
        <v>0</v>
      </c>
      <c r="L238" s="206"/>
      <c r="M238" s="206">
        <v>0</v>
      </c>
      <c r="N238" s="284" t="e">
        <f t="shared" si="22"/>
        <v>#DIV/0!</v>
      </c>
    </row>
    <row r="239" spans="1:14" s="284" customFormat="1" ht="28.5" hidden="1" customHeight="1" x14ac:dyDescent="0.35">
      <c r="A239" s="184"/>
      <c r="B239" s="189"/>
      <c r="C239" s="186"/>
      <c r="D239" s="187" t="s">
        <v>194</v>
      </c>
      <c r="E239" s="186" t="s">
        <v>185</v>
      </c>
      <c r="F239" s="186">
        <v>0.2</v>
      </c>
      <c r="G239" s="188">
        <v>10270</v>
      </c>
      <c r="H239" s="188">
        <f t="shared" si="23"/>
        <v>2054</v>
      </c>
      <c r="I239" s="212"/>
      <c r="J239" s="212"/>
      <c r="K239" s="212">
        <f t="shared" si="21"/>
        <v>0</v>
      </c>
      <c r="L239" s="206"/>
      <c r="M239" s="206">
        <v>0</v>
      </c>
      <c r="N239" s="284" t="e">
        <f t="shared" si="22"/>
        <v>#DIV/0!</v>
      </c>
    </row>
    <row r="240" spans="1:14" s="284" customFormat="1" ht="43.2" hidden="1" customHeight="1" x14ac:dyDescent="0.35">
      <c r="A240" s="184"/>
      <c r="B240" s="189"/>
      <c r="C240" s="186"/>
      <c r="D240" s="187" t="s">
        <v>195</v>
      </c>
      <c r="E240" s="186" t="s">
        <v>185</v>
      </c>
      <c r="F240" s="186">
        <v>0.2</v>
      </c>
      <c r="G240" s="188">
        <v>3100</v>
      </c>
      <c r="H240" s="188">
        <f t="shared" si="23"/>
        <v>620</v>
      </c>
      <c r="I240" s="212"/>
      <c r="J240" s="212"/>
      <c r="K240" s="212">
        <f t="shared" si="21"/>
        <v>0</v>
      </c>
      <c r="L240" s="206"/>
      <c r="M240" s="206">
        <v>0</v>
      </c>
      <c r="N240" s="284" t="e">
        <f t="shared" si="22"/>
        <v>#DIV/0!</v>
      </c>
    </row>
    <row r="241" spans="1:14" s="284" customFormat="1" ht="39.75" hidden="1" customHeight="1" x14ac:dyDescent="0.35">
      <c r="A241" s="184"/>
      <c r="B241" s="189"/>
      <c r="C241" s="186"/>
      <c r="D241" s="187" t="s">
        <v>196</v>
      </c>
      <c r="E241" s="186" t="s">
        <v>185</v>
      </c>
      <c r="F241" s="186">
        <v>0.1</v>
      </c>
      <c r="G241" s="188">
        <v>8400</v>
      </c>
      <c r="H241" s="188">
        <f t="shared" si="23"/>
        <v>840</v>
      </c>
      <c r="I241" s="212"/>
      <c r="J241" s="212"/>
      <c r="K241" s="212">
        <f t="shared" si="21"/>
        <v>0</v>
      </c>
      <c r="L241" s="206"/>
      <c r="M241" s="206">
        <v>0</v>
      </c>
      <c r="N241" s="284" t="e">
        <f t="shared" si="22"/>
        <v>#DIV/0!</v>
      </c>
    </row>
    <row r="242" spans="1:14" s="284" customFormat="1" ht="18" hidden="1" x14ac:dyDescent="0.35">
      <c r="A242" s="184"/>
      <c r="B242" s="189"/>
      <c r="C242" s="186"/>
      <c r="D242" s="187" t="s">
        <v>197</v>
      </c>
      <c r="E242" s="186" t="s">
        <v>185</v>
      </c>
      <c r="F242" s="186">
        <v>0.1</v>
      </c>
      <c r="G242" s="188">
        <v>3100</v>
      </c>
      <c r="H242" s="188">
        <f t="shared" si="23"/>
        <v>310</v>
      </c>
      <c r="I242" s="212"/>
      <c r="J242" s="212"/>
      <c r="K242" s="212">
        <f t="shared" si="21"/>
        <v>0</v>
      </c>
      <c r="L242" s="206"/>
      <c r="M242" s="206">
        <v>0</v>
      </c>
      <c r="N242" s="284" t="e">
        <f t="shared" si="22"/>
        <v>#DIV/0!</v>
      </c>
    </row>
    <row r="243" spans="1:14" s="284" customFormat="1" ht="18" hidden="1" x14ac:dyDescent="0.35">
      <c r="A243" s="184"/>
      <c r="B243" s="189"/>
      <c r="C243" s="186"/>
      <c r="D243" s="187" t="s">
        <v>203</v>
      </c>
      <c r="E243" s="186" t="s">
        <v>185</v>
      </c>
      <c r="F243" s="186">
        <v>1</v>
      </c>
      <c r="G243" s="188">
        <f>29960/75</f>
        <v>399.46666666666664</v>
      </c>
      <c r="H243" s="188">
        <f t="shared" si="23"/>
        <v>399.46666666666664</v>
      </c>
      <c r="I243" s="212"/>
      <c r="J243" s="212"/>
      <c r="K243" s="212"/>
      <c r="L243" s="206"/>
      <c r="M243" s="206"/>
      <c r="N243" s="284" t="e">
        <f t="shared" si="22"/>
        <v>#DIV/0!</v>
      </c>
    </row>
    <row r="244" spans="1:14" s="284" customFormat="1" ht="18" hidden="1" x14ac:dyDescent="0.35">
      <c r="A244" s="184"/>
      <c r="B244" s="189"/>
      <c r="C244" s="186"/>
      <c r="D244" s="187" t="s">
        <v>204</v>
      </c>
      <c r="E244" s="186" t="s">
        <v>185</v>
      </c>
      <c r="F244" s="186">
        <v>0.25</v>
      </c>
      <c r="G244" s="188">
        <f>24167/12</f>
        <v>2013.9166666666667</v>
      </c>
      <c r="H244" s="188">
        <f t="shared" si="23"/>
        <v>503.47916666666669</v>
      </c>
      <c r="I244" s="212"/>
      <c r="J244" s="212"/>
      <c r="K244" s="212"/>
      <c r="L244" s="206"/>
      <c r="M244" s="206"/>
      <c r="N244" s="284" t="e">
        <f t="shared" si="22"/>
        <v>#DIV/0!</v>
      </c>
    </row>
    <row r="245" spans="1:14" s="284" customFormat="1" ht="18" x14ac:dyDescent="0.35">
      <c r="A245" s="172" t="s">
        <v>120</v>
      </c>
      <c r="B245" s="173" t="s">
        <v>133</v>
      </c>
      <c r="C245" s="174" t="s">
        <v>51</v>
      </c>
      <c r="D245" s="178"/>
      <c r="E245" s="174"/>
      <c r="F245" s="174"/>
      <c r="G245" s="176"/>
      <c r="H245" s="176">
        <f>SUM(H246:H254)</f>
        <v>6709.9849999999997</v>
      </c>
      <c r="I245" s="212">
        <v>0.67</v>
      </c>
      <c r="J245" s="212">
        <v>3.91</v>
      </c>
      <c r="K245" s="212">
        <f t="shared" ref="K245:K252" si="24">J245+I245</f>
        <v>4.58</v>
      </c>
      <c r="L245" s="206">
        <v>10650</v>
      </c>
      <c r="M245" s="206">
        <v>45800</v>
      </c>
      <c r="N245" s="284">
        <f t="shared" si="22"/>
        <v>0.01</v>
      </c>
    </row>
    <row r="246" spans="1:14" s="284" customFormat="1" ht="18" x14ac:dyDescent="0.35">
      <c r="A246" s="180" t="s">
        <v>276</v>
      </c>
      <c r="B246" s="210" t="s">
        <v>294</v>
      </c>
      <c r="C246" s="174" t="s">
        <v>51</v>
      </c>
      <c r="D246" s="178" t="s">
        <v>198</v>
      </c>
      <c r="E246" s="174" t="s">
        <v>185</v>
      </c>
      <c r="F246" s="174">
        <v>0.1</v>
      </c>
      <c r="G246" s="176">
        <v>4320</v>
      </c>
      <c r="H246" s="176">
        <f t="shared" ref="H246:H254" si="25">G246*F246</f>
        <v>432</v>
      </c>
      <c r="I246" s="212">
        <v>1.61</v>
      </c>
      <c r="J246" s="212">
        <v>2.09</v>
      </c>
      <c r="K246" s="212">
        <f>J246+I246</f>
        <v>3.7</v>
      </c>
      <c r="L246" s="206"/>
      <c r="M246" s="206">
        <v>37000</v>
      </c>
      <c r="N246" s="284">
        <f t="shared" si="22"/>
        <v>0.01</v>
      </c>
    </row>
    <row r="247" spans="1:14" s="284" customFormat="1" ht="38.4" hidden="1" customHeight="1" x14ac:dyDescent="0.35">
      <c r="A247" s="172"/>
      <c r="B247" s="170"/>
      <c r="C247" s="174"/>
      <c r="D247" s="178" t="s">
        <v>199</v>
      </c>
      <c r="E247" s="174" t="s">
        <v>185</v>
      </c>
      <c r="F247" s="174">
        <v>0.2</v>
      </c>
      <c r="G247" s="176">
        <v>1320</v>
      </c>
      <c r="H247" s="176">
        <f t="shared" si="25"/>
        <v>264</v>
      </c>
      <c r="I247" s="212"/>
      <c r="J247" s="212"/>
      <c r="K247" s="212">
        <f t="shared" si="24"/>
        <v>0</v>
      </c>
      <c r="L247" s="206"/>
      <c r="M247" s="206"/>
    </row>
    <row r="248" spans="1:14" s="284" customFormat="1" ht="31.8" hidden="1" x14ac:dyDescent="0.35">
      <c r="A248" s="172"/>
      <c r="B248" s="170"/>
      <c r="C248" s="174"/>
      <c r="D248" s="178" t="s">
        <v>200</v>
      </c>
      <c r="E248" s="174" t="s">
        <v>201</v>
      </c>
      <c r="F248" s="174">
        <v>0.2</v>
      </c>
      <c r="G248" s="176">
        <f>29876/120</f>
        <v>248.96666666666667</v>
      </c>
      <c r="H248" s="176">
        <f t="shared" si="25"/>
        <v>49.793333333333337</v>
      </c>
      <c r="I248" s="212"/>
      <c r="J248" s="212"/>
      <c r="K248" s="212">
        <f t="shared" si="24"/>
        <v>0</v>
      </c>
      <c r="L248" s="206"/>
      <c r="M248" s="206"/>
    </row>
    <row r="249" spans="1:14" s="284" customFormat="1" ht="18" hidden="1" x14ac:dyDescent="0.35">
      <c r="A249" s="172"/>
      <c r="B249" s="170"/>
      <c r="C249" s="174"/>
      <c r="D249" s="178" t="s">
        <v>194</v>
      </c>
      <c r="E249" s="174" t="s">
        <v>185</v>
      </c>
      <c r="F249" s="174">
        <v>0.2</v>
      </c>
      <c r="G249" s="176">
        <v>10270</v>
      </c>
      <c r="H249" s="176">
        <f t="shared" si="25"/>
        <v>2054</v>
      </c>
      <c r="I249" s="212"/>
      <c r="J249" s="212"/>
      <c r="K249" s="212">
        <f t="shared" si="24"/>
        <v>0</v>
      </c>
      <c r="L249" s="206"/>
      <c r="M249" s="206"/>
    </row>
    <row r="250" spans="1:14" s="284" customFormat="1" ht="34.200000000000003" hidden="1" customHeight="1" x14ac:dyDescent="0.35">
      <c r="A250" s="172"/>
      <c r="B250" s="170"/>
      <c r="C250" s="174"/>
      <c r="D250" s="178" t="s">
        <v>195</v>
      </c>
      <c r="E250" s="174" t="s">
        <v>185</v>
      </c>
      <c r="F250" s="174">
        <v>0.1</v>
      </c>
      <c r="G250" s="176">
        <v>3100</v>
      </c>
      <c r="H250" s="176">
        <f t="shared" si="25"/>
        <v>310</v>
      </c>
      <c r="I250" s="212"/>
      <c r="J250" s="212"/>
      <c r="K250" s="212">
        <f t="shared" si="24"/>
        <v>0</v>
      </c>
      <c r="L250" s="206"/>
      <c r="M250" s="206"/>
    </row>
    <row r="251" spans="1:14" s="284" customFormat="1" ht="32.4" hidden="1" customHeight="1" x14ac:dyDescent="0.35">
      <c r="A251" s="172"/>
      <c r="B251" s="170"/>
      <c r="C251" s="174"/>
      <c r="D251" s="178" t="s">
        <v>196</v>
      </c>
      <c r="E251" s="174" t="s">
        <v>185</v>
      </c>
      <c r="F251" s="174">
        <v>0.2</v>
      </c>
      <c r="G251" s="176">
        <v>8400</v>
      </c>
      <c r="H251" s="176">
        <f t="shared" si="25"/>
        <v>1680</v>
      </c>
      <c r="I251" s="212"/>
      <c r="J251" s="212"/>
      <c r="K251" s="212">
        <f t="shared" si="24"/>
        <v>0</v>
      </c>
      <c r="L251" s="206"/>
      <c r="M251" s="206"/>
    </row>
    <row r="252" spans="1:14" s="284" customFormat="1" ht="18" hidden="1" x14ac:dyDescent="0.35">
      <c r="A252" s="172"/>
      <c r="B252" s="170"/>
      <c r="C252" s="174"/>
      <c r="D252" s="178" t="s">
        <v>197</v>
      </c>
      <c r="E252" s="174" t="s">
        <v>185</v>
      </c>
      <c r="F252" s="174">
        <v>0.1</v>
      </c>
      <c r="G252" s="176">
        <v>3100</v>
      </c>
      <c r="H252" s="176">
        <f t="shared" si="25"/>
        <v>310</v>
      </c>
      <c r="I252" s="212"/>
      <c r="J252" s="212"/>
      <c r="K252" s="212">
        <f t="shared" si="24"/>
        <v>0</v>
      </c>
      <c r="L252" s="206"/>
      <c r="M252" s="206"/>
    </row>
    <row r="253" spans="1:14" s="284" customFormat="1" ht="18" hidden="1" x14ac:dyDescent="0.35">
      <c r="A253" s="172"/>
      <c r="B253" s="170"/>
      <c r="C253" s="174"/>
      <c r="D253" s="178" t="s">
        <v>203</v>
      </c>
      <c r="E253" s="174" t="s">
        <v>185</v>
      </c>
      <c r="F253" s="174">
        <v>1</v>
      </c>
      <c r="G253" s="176">
        <f>81982/80</f>
        <v>1024.7750000000001</v>
      </c>
      <c r="H253" s="176">
        <f t="shared" si="25"/>
        <v>1024.7750000000001</v>
      </c>
      <c r="I253" s="212"/>
      <c r="J253" s="212"/>
      <c r="K253" s="212"/>
      <c r="L253" s="206"/>
      <c r="M253" s="206"/>
    </row>
    <row r="254" spans="1:14" s="284" customFormat="1" ht="18" hidden="1" x14ac:dyDescent="0.35">
      <c r="A254" s="172"/>
      <c r="B254" s="170"/>
      <c r="C254" s="174"/>
      <c r="D254" s="178" t="s">
        <v>204</v>
      </c>
      <c r="E254" s="174" t="s">
        <v>185</v>
      </c>
      <c r="F254" s="174">
        <v>0.25</v>
      </c>
      <c r="G254" s="192">
        <f>G46</f>
        <v>2341.6666666666665</v>
      </c>
      <c r="H254" s="176">
        <f t="shared" si="25"/>
        <v>585.41666666666663</v>
      </c>
      <c r="I254" s="212"/>
      <c r="J254" s="212"/>
      <c r="K254" s="212"/>
      <c r="L254" s="206"/>
      <c r="M254" s="206"/>
    </row>
    <row r="255" spans="1:14" s="284" customFormat="1" ht="36" x14ac:dyDescent="0.35">
      <c r="A255" s="172" t="s">
        <v>134</v>
      </c>
      <c r="B255" s="173" t="s">
        <v>135</v>
      </c>
      <c r="C255" s="174" t="s">
        <v>51</v>
      </c>
      <c r="D255" s="178"/>
      <c r="E255" s="174"/>
      <c r="F255" s="174"/>
      <c r="G255" s="176"/>
      <c r="H255" s="176">
        <f>SUM(H256:H262)</f>
        <v>5374.7933333333331</v>
      </c>
      <c r="I255" s="212">
        <v>0.54</v>
      </c>
      <c r="J255" s="212">
        <v>2.61</v>
      </c>
      <c r="K255" s="212">
        <f t="shared" ref="K255:K267" si="26">J255+I255</f>
        <v>3.15</v>
      </c>
      <c r="L255" s="206">
        <v>8730</v>
      </c>
      <c r="M255" s="206">
        <v>31500</v>
      </c>
      <c r="N255" s="284">
        <f>K255/M255*100</f>
        <v>9.9999999999999985E-3</v>
      </c>
    </row>
    <row r="256" spans="1:14" s="284" customFormat="1" ht="18" hidden="1" x14ac:dyDescent="0.35">
      <c r="A256" s="172"/>
      <c r="B256" s="170"/>
      <c r="C256" s="174"/>
      <c r="D256" s="178" t="s">
        <v>198</v>
      </c>
      <c r="E256" s="174" t="s">
        <v>185</v>
      </c>
      <c r="F256" s="174">
        <v>0.1</v>
      </c>
      <c r="G256" s="176">
        <v>4320</v>
      </c>
      <c r="H256" s="176">
        <f t="shared" ref="H256:H262" si="27">G256*F256</f>
        <v>432</v>
      </c>
      <c r="I256" s="176"/>
      <c r="J256" s="176"/>
      <c r="K256" s="176">
        <f t="shared" si="26"/>
        <v>0</v>
      </c>
      <c r="L256" s="176"/>
    </row>
    <row r="257" spans="1:14" s="284" customFormat="1" ht="39.6" hidden="1" customHeight="1" x14ac:dyDescent="0.35">
      <c r="A257" s="172"/>
      <c r="B257" s="170"/>
      <c r="C257" s="174"/>
      <c r="D257" s="178" t="s">
        <v>199</v>
      </c>
      <c r="E257" s="174" t="s">
        <v>185</v>
      </c>
      <c r="F257" s="174">
        <v>0.2</v>
      </c>
      <c r="G257" s="176">
        <v>1320</v>
      </c>
      <c r="H257" s="176">
        <f t="shared" si="27"/>
        <v>264</v>
      </c>
      <c r="I257" s="176"/>
      <c r="J257" s="176"/>
      <c r="K257" s="176">
        <f t="shared" si="26"/>
        <v>0</v>
      </c>
      <c r="L257" s="176"/>
    </row>
    <row r="258" spans="1:14" s="284" customFormat="1" ht="31.8" hidden="1" x14ac:dyDescent="0.35">
      <c r="A258" s="172"/>
      <c r="B258" s="170"/>
      <c r="C258" s="174"/>
      <c r="D258" s="178" t="s">
        <v>200</v>
      </c>
      <c r="E258" s="174" t="s">
        <v>201</v>
      </c>
      <c r="F258" s="174">
        <v>0.2</v>
      </c>
      <c r="G258" s="176">
        <f>29876/120</f>
        <v>248.96666666666667</v>
      </c>
      <c r="H258" s="176">
        <f t="shared" si="27"/>
        <v>49.793333333333337</v>
      </c>
      <c r="I258" s="176"/>
      <c r="J258" s="176"/>
      <c r="K258" s="176">
        <f t="shared" si="26"/>
        <v>0</v>
      </c>
      <c r="L258" s="176"/>
    </row>
    <row r="259" spans="1:14" s="284" customFormat="1" ht="18" hidden="1" x14ac:dyDescent="0.35">
      <c r="A259" s="172"/>
      <c r="B259" s="170"/>
      <c r="C259" s="174"/>
      <c r="D259" s="178" t="s">
        <v>194</v>
      </c>
      <c r="E259" s="174" t="s">
        <v>185</v>
      </c>
      <c r="F259" s="174">
        <v>0.2</v>
      </c>
      <c r="G259" s="176">
        <v>10270</v>
      </c>
      <c r="H259" s="176">
        <f t="shared" si="27"/>
        <v>2054</v>
      </c>
      <c r="I259" s="176"/>
      <c r="J259" s="176"/>
      <c r="K259" s="176">
        <f t="shared" si="26"/>
        <v>0</v>
      </c>
      <c r="L259" s="176"/>
    </row>
    <row r="260" spans="1:14" s="284" customFormat="1" ht="31.8" hidden="1" x14ac:dyDescent="0.35">
      <c r="A260" s="172"/>
      <c r="B260" s="170"/>
      <c r="C260" s="174"/>
      <c r="D260" s="178" t="s">
        <v>195</v>
      </c>
      <c r="E260" s="174" t="s">
        <v>185</v>
      </c>
      <c r="F260" s="174">
        <v>0.1</v>
      </c>
      <c r="G260" s="176">
        <v>3100</v>
      </c>
      <c r="H260" s="176">
        <f t="shared" si="27"/>
        <v>310</v>
      </c>
      <c r="I260" s="176"/>
      <c r="J260" s="176"/>
      <c r="K260" s="176">
        <f t="shared" si="26"/>
        <v>0</v>
      </c>
      <c r="L260" s="176"/>
    </row>
    <row r="261" spans="1:14" s="284" customFormat="1" ht="31.8" hidden="1" x14ac:dyDescent="0.35">
      <c r="A261" s="172"/>
      <c r="B261" s="170"/>
      <c r="C261" s="174"/>
      <c r="D261" s="178" t="s">
        <v>196</v>
      </c>
      <c r="E261" s="174" t="s">
        <v>185</v>
      </c>
      <c r="F261" s="174">
        <v>0.2</v>
      </c>
      <c r="G261" s="176">
        <v>8400</v>
      </c>
      <c r="H261" s="176">
        <f t="shared" si="27"/>
        <v>1680</v>
      </c>
      <c r="I261" s="176"/>
      <c r="J261" s="176"/>
      <c r="K261" s="176">
        <f t="shared" si="26"/>
        <v>0</v>
      </c>
      <c r="L261" s="176"/>
    </row>
    <row r="262" spans="1:14" s="284" customFormat="1" ht="18" hidden="1" x14ac:dyDescent="0.35">
      <c r="A262" s="172"/>
      <c r="B262" s="170"/>
      <c r="C262" s="174"/>
      <c r="D262" s="178" t="s">
        <v>295</v>
      </c>
      <c r="E262" s="174" t="s">
        <v>185</v>
      </c>
      <c r="F262" s="174">
        <v>0.1</v>
      </c>
      <c r="G262" s="176">
        <v>5850</v>
      </c>
      <c r="H262" s="176">
        <f t="shared" si="27"/>
        <v>585</v>
      </c>
      <c r="I262" s="176"/>
      <c r="J262" s="176"/>
      <c r="K262" s="176">
        <f t="shared" si="26"/>
        <v>0</v>
      </c>
      <c r="L262" s="176"/>
    </row>
    <row r="263" spans="1:14" s="284" customFormat="1" ht="36" hidden="1" x14ac:dyDescent="0.35">
      <c r="A263" s="184" t="s">
        <v>296</v>
      </c>
      <c r="B263" s="185" t="s">
        <v>297</v>
      </c>
      <c r="C263" s="198" t="s">
        <v>298</v>
      </c>
      <c r="D263" s="199" t="s">
        <v>299</v>
      </c>
      <c r="E263" s="186"/>
      <c r="F263" s="186"/>
      <c r="G263" s="188"/>
      <c r="H263" s="188">
        <f>H264</f>
        <v>716</v>
      </c>
      <c r="I263" s="188">
        <v>700</v>
      </c>
      <c r="J263" s="188">
        <f>[2]Лист2!S78</f>
        <v>26100</v>
      </c>
      <c r="K263" s="188">
        <f t="shared" si="26"/>
        <v>26800</v>
      </c>
      <c r="L263" s="188">
        <v>4550</v>
      </c>
      <c r="M263" s="284">
        <v>22550</v>
      </c>
      <c r="N263" s="284">
        <f>K263/M263*100</f>
        <v>118.8470066518847</v>
      </c>
    </row>
    <row r="264" spans="1:14" s="284" customFormat="1" ht="20.399999999999999" hidden="1" customHeight="1" x14ac:dyDescent="0.35">
      <c r="A264" s="184"/>
      <c r="B264" s="189"/>
      <c r="C264" s="186"/>
      <c r="D264" s="187" t="s">
        <v>300</v>
      </c>
      <c r="E264" s="186" t="s">
        <v>192</v>
      </c>
      <c r="F264" s="186">
        <v>2</v>
      </c>
      <c r="G264" s="188">
        <v>358</v>
      </c>
      <c r="H264" s="188">
        <f>G264*F264</f>
        <v>716</v>
      </c>
      <c r="I264" s="188"/>
      <c r="J264" s="188"/>
      <c r="K264" s="188">
        <f t="shared" si="26"/>
        <v>0</v>
      </c>
      <c r="L264" s="188"/>
      <c r="M264" s="284">
        <v>0</v>
      </c>
      <c r="N264" s="284" t="e">
        <f>K264/M264*100</f>
        <v>#DIV/0!</v>
      </c>
    </row>
    <row r="265" spans="1:14" s="284" customFormat="1" ht="35.4" hidden="1" x14ac:dyDescent="0.35">
      <c r="A265" s="184"/>
      <c r="B265" s="189"/>
      <c r="C265" s="198" t="s">
        <v>301</v>
      </c>
      <c r="D265" s="199" t="s">
        <v>302</v>
      </c>
      <c r="E265" s="186"/>
      <c r="F265" s="186"/>
      <c r="G265" s="188"/>
      <c r="H265" s="188">
        <f>H266</f>
        <v>152</v>
      </c>
      <c r="I265" s="188">
        <v>150</v>
      </c>
      <c r="J265" s="188">
        <f>J263</f>
        <v>26100</v>
      </c>
      <c r="K265" s="188">
        <f t="shared" si="26"/>
        <v>26250</v>
      </c>
      <c r="L265" s="188">
        <v>3980</v>
      </c>
      <c r="M265" s="284">
        <v>22000</v>
      </c>
      <c r="N265" s="284">
        <f>K265/M265*100</f>
        <v>119.31818181818181</v>
      </c>
    </row>
    <row r="266" spans="1:14" s="284" customFormat="1" ht="18" hidden="1" x14ac:dyDescent="0.35">
      <c r="A266" s="184"/>
      <c r="B266" s="189"/>
      <c r="C266" s="186"/>
      <c r="D266" s="187" t="s">
        <v>300</v>
      </c>
      <c r="E266" s="186" t="s">
        <v>192</v>
      </c>
      <c r="F266" s="186">
        <v>2</v>
      </c>
      <c r="G266" s="188">
        <v>76</v>
      </c>
      <c r="H266" s="188">
        <f>G266*F266</f>
        <v>152</v>
      </c>
      <c r="I266" s="188"/>
      <c r="J266" s="188"/>
      <c r="K266" s="188">
        <f t="shared" si="26"/>
        <v>0</v>
      </c>
      <c r="L266" s="188"/>
      <c r="M266" s="284">
        <v>0</v>
      </c>
      <c r="N266" s="284" t="e">
        <f>K266/M266*100</f>
        <v>#DIV/0!</v>
      </c>
    </row>
    <row r="267" spans="1:14" s="284" customFormat="1" ht="36" hidden="1" x14ac:dyDescent="0.35">
      <c r="A267" s="184" t="s">
        <v>303</v>
      </c>
      <c r="B267" s="185" t="s">
        <v>304</v>
      </c>
      <c r="C267" s="198" t="s">
        <v>298</v>
      </c>
      <c r="D267" s="199" t="s">
        <v>299</v>
      </c>
      <c r="E267" s="186" t="s">
        <v>192</v>
      </c>
      <c r="F267" s="186">
        <v>2</v>
      </c>
      <c r="G267" s="188">
        <v>358</v>
      </c>
      <c r="H267" s="188">
        <f>H268</f>
        <v>716</v>
      </c>
      <c r="I267" s="188">
        <v>700</v>
      </c>
      <c r="J267" s="188">
        <f>[2]Лист2!S79</f>
        <v>39100</v>
      </c>
      <c r="K267" s="188">
        <f t="shared" si="26"/>
        <v>39800</v>
      </c>
      <c r="L267" s="188">
        <v>2630</v>
      </c>
      <c r="M267" s="284">
        <v>33500</v>
      </c>
      <c r="N267" s="284">
        <f>K267/M267*100</f>
        <v>118.80597014925374</v>
      </c>
    </row>
    <row r="268" spans="1:14" s="201" customFormat="1" ht="15.75" hidden="1" customHeight="1" x14ac:dyDescent="0.35">
      <c r="A268" s="184"/>
      <c r="B268" s="185"/>
      <c r="C268" s="186"/>
      <c r="D268" s="187" t="s">
        <v>305</v>
      </c>
      <c r="E268" s="186" t="s">
        <v>192</v>
      </c>
      <c r="F268" s="186">
        <v>2</v>
      </c>
      <c r="G268" s="188">
        <v>358</v>
      </c>
      <c r="H268" s="188">
        <f>G268*F268</f>
        <v>716</v>
      </c>
      <c r="I268" s="188"/>
      <c r="J268" s="188"/>
      <c r="K268" s="188"/>
      <c r="L268" s="188"/>
    </row>
    <row r="269" spans="1:14" s="201" customFormat="1" ht="35.4" hidden="1" x14ac:dyDescent="0.35">
      <c r="A269" s="184"/>
      <c r="B269" s="189"/>
      <c r="C269" s="198" t="s">
        <v>301</v>
      </c>
      <c r="D269" s="199" t="s">
        <v>302</v>
      </c>
      <c r="E269" s="186"/>
      <c r="F269" s="186"/>
      <c r="G269" s="188"/>
      <c r="H269" s="188">
        <f>H270</f>
        <v>152</v>
      </c>
      <c r="I269" s="188"/>
      <c r="J269" s="188">
        <v>2310</v>
      </c>
      <c r="K269" s="188">
        <f>J269+H269</f>
        <v>2462</v>
      </c>
      <c r="L269" s="188">
        <v>2460</v>
      </c>
    </row>
    <row r="270" spans="1:14" s="201" customFormat="1" ht="91.5" hidden="1" customHeight="1" x14ac:dyDescent="0.35">
      <c r="A270" s="184"/>
      <c r="B270" s="189"/>
      <c r="C270" s="186"/>
      <c r="D270" s="187" t="s">
        <v>305</v>
      </c>
      <c r="E270" s="186" t="s">
        <v>192</v>
      </c>
      <c r="F270" s="186">
        <v>2</v>
      </c>
      <c r="G270" s="188">
        <v>76</v>
      </c>
      <c r="H270" s="188">
        <f>G270*F270</f>
        <v>152</v>
      </c>
      <c r="I270" s="188"/>
      <c r="J270" s="188"/>
      <c r="K270" s="188"/>
      <c r="L270" s="188"/>
    </row>
    <row r="271" spans="1:14" ht="18" hidden="1" x14ac:dyDescent="0.25">
      <c r="A271" s="184">
        <v>3</v>
      </c>
      <c r="B271" s="411" t="s">
        <v>306</v>
      </c>
      <c r="C271" s="412"/>
      <c r="D271" s="412"/>
      <c r="E271" s="412"/>
      <c r="F271" s="412"/>
      <c r="G271" s="412"/>
      <c r="H271" s="412"/>
      <c r="I271" s="412"/>
      <c r="J271" s="412"/>
      <c r="K271" s="412"/>
      <c r="L271" s="413"/>
    </row>
    <row r="272" spans="1:14" ht="52.5" hidden="1" customHeight="1" x14ac:dyDescent="0.35">
      <c r="A272" s="184" t="s">
        <v>307</v>
      </c>
      <c r="B272" s="185" t="s">
        <v>308</v>
      </c>
      <c r="C272" s="189" t="s">
        <v>309</v>
      </c>
      <c r="D272" s="195"/>
      <c r="E272" s="189"/>
      <c r="F272" s="186"/>
      <c r="G272" s="186"/>
      <c r="H272" s="214">
        <f>H273+H274</f>
        <v>0</v>
      </c>
      <c r="I272" s="214"/>
      <c r="J272" s="196">
        <v>1000</v>
      </c>
      <c r="K272" s="215">
        <f>J272+H272</f>
        <v>1000</v>
      </c>
      <c r="L272" s="188">
        <v>1090</v>
      </c>
    </row>
    <row r="273" spans="1:12" ht="32.25" hidden="1" customHeight="1" x14ac:dyDescent="0.35">
      <c r="A273" s="216"/>
      <c r="B273" s="217"/>
      <c r="C273" s="218"/>
      <c r="D273" s="195" t="s">
        <v>310</v>
      </c>
      <c r="E273" s="218" t="s">
        <v>201</v>
      </c>
      <c r="F273" s="219">
        <v>1</v>
      </c>
      <c r="G273" s="219">
        <v>0</v>
      </c>
      <c r="H273" s="220">
        <f>G273*F273</f>
        <v>0</v>
      </c>
      <c r="I273" s="220"/>
      <c r="J273" s="221"/>
      <c r="K273" s="221"/>
      <c r="L273" s="222"/>
    </row>
    <row r="274" spans="1:12" ht="16.5" hidden="1" customHeight="1" x14ac:dyDescent="0.35">
      <c r="A274" s="216"/>
      <c r="B274" s="217"/>
      <c r="C274" s="218"/>
      <c r="D274" s="195" t="s">
        <v>311</v>
      </c>
      <c r="E274" s="218" t="s">
        <v>185</v>
      </c>
      <c r="F274" s="219">
        <v>1</v>
      </c>
      <c r="G274" s="219">
        <v>0</v>
      </c>
      <c r="H274" s="220">
        <f>G274*F274</f>
        <v>0</v>
      </c>
      <c r="I274" s="220"/>
      <c r="J274" s="221"/>
      <c r="K274" s="221"/>
      <c r="L274" s="222"/>
    </row>
    <row r="275" spans="1:12" ht="18" hidden="1" x14ac:dyDescent="0.35">
      <c r="A275" s="223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</row>
    <row r="276" spans="1:12" ht="14.4" customHeight="1" x14ac:dyDescent="0.35">
      <c r="A276" s="225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</row>
    <row r="277" spans="1:12" ht="18" hidden="1" x14ac:dyDescent="0.35">
      <c r="A277" s="260"/>
      <c r="B277" s="271" t="s">
        <v>409</v>
      </c>
      <c r="C277" s="261"/>
      <c r="D277" s="261"/>
      <c r="E277" s="261"/>
      <c r="F277" s="261"/>
      <c r="G277" s="261"/>
      <c r="H277" s="261"/>
      <c r="I277" s="259"/>
      <c r="J277" s="271" t="s">
        <v>410</v>
      </c>
      <c r="L277" s="261"/>
    </row>
    <row r="278" spans="1:12" ht="16.5" customHeight="1" x14ac:dyDescent="0.35">
      <c r="A278" s="227"/>
      <c r="B278" s="259"/>
      <c r="C278" s="224"/>
      <c r="D278" s="224"/>
      <c r="E278" s="224"/>
      <c r="F278" s="224"/>
      <c r="G278" s="224"/>
      <c r="H278" s="224"/>
      <c r="I278" s="259"/>
      <c r="J278" s="224"/>
      <c r="K278" s="224"/>
      <c r="L278" s="224"/>
    </row>
    <row r="279" spans="1:12" ht="18" x14ac:dyDescent="0.35">
      <c r="A279" s="227"/>
      <c r="B279" s="259"/>
      <c r="C279" s="224"/>
      <c r="D279" s="224"/>
      <c r="E279" s="224"/>
      <c r="F279" s="224"/>
      <c r="G279" s="224"/>
      <c r="H279" s="259"/>
      <c r="I279" s="259"/>
      <c r="J279" s="224"/>
      <c r="K279" s="224"/>
      <c r="L279" s="224"/>
    </row>
  </sheetData>
  <mergeCells count="29">
    <mergeCell ref="H7:L7"/>
    <mergeCell ref="A2:B2"/>
    <mergeCell ref="A4:B4"/>
    <mergeCell ref="A5:B5"/>
    <mergeCell ref="C5:K5"/>
    <mergeCell ref="A6:B6"/>
    <mergeCell ref="A9:L9"/>
    <mergeCell ref="A10:M11"/>
    <mergeCell ref="A12:M12"/>
    <mergeCell ref="A13:M13"/>
    <mergeCell ref="A16:A17"/>
    <mergeCell ref="B16:B17"/>
    <mergeCell ref="C16:C17"/>
    <mergeCell ref="D16:D17"/>
    <mergeCell ref="E16:E17"/>
    <mergeCell ref="F16:F17"/>
    <mergeCell ref="B271:L271"/>
    <mergeCell ref="M16:M17"/>
    <mergeCell ref="B19:M19"/>
    <mergeCell ref="B71:M71"/>
    <mergeCell ref="A112:A115"/>
    <mergeCell ref="B112:B115"/>
    <mergeCell ref="B120:M120"/>
    <mergeCell ref="G16:G17"/>
    <mergeCell ref="H16:H17"/>
    <mergeCell ref="I16:I17"/>
    <mergeCell ref="J16:J17"/>
    <mergeCell ref="K16:K17"/>
    <mergeCell ref="L16:L17"/>
  </mergeCells>
  <pageMargins left="0.23622047244094491" right="0.31496062992125984" top="0.27559055118110237" bottom="0.11811023622047245" header="0.15748031496062992" footer="0.31496062992125984"/>
  <pageSetup paperSize="9" scale="77" fitToHeight="0" orientation="portrait" r:id="rId1"/>
  <headerFooter alignWithMargins="0"/>
  <rowBreaks count="2" manualBreakCount="2">
    <brk id="93" max="12" man="1"/>
    <brk id="207" max="1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8"/>
  <sheetViews>
    <sheetView view="pageBreakPreview" topLeftCell="A251" zoomScale="93" zoomScaleNormal="66" zoomScaleSheetLayoutView="93" workbookViewId="0">
      <selection activeCell="A283" sqref="A283:XFD283"/>
    </sheetView>
  </sheetViews>
  <sheetFormatPr defaultColWidth="8.88671875" defaultRowHeight="17.399999999999999" x14ac:dyDescent="0.3"/>
  <cols>
    <col min="1" max="1" width="8.44140625" style="79" customWidth="1"/>
    <col min="2" max="2" width="57.5546875" style="20" customWidth="1"/>
    <col min="3" max="3" width="17.33203125" style="20" customWidth="1"/>
    <col min="4" max="4" width="28.109375" style="20" hidden="1" customWidth="1"/>
    <col min="5" max="5" width="9.109375" style="20" hidden="1" customWidth="1"/>
    <col min="6" max="6" width="18.33203125" style="20" hidden="1" customWidth="1"/>
    <col min="7" max="7" width="12.44140625" style="20" hidden="1" customWidth="1"/>
    <col min="8" max="8" width="15.33203125" style="20" hidden="1" customWidth="1"/>
    <col min="9" max="9" width="14.44140625" style="20" customWidth="1"/>
    <col min="10" max="10" width="13.5546875" style="20" customWidth="1"/>
    <col min="11" max="11" width="15.6640625" style="20" customWidth="1"/>
    <col min="12" max="12" width="17.109375" style="20" hidden="1" customWidth="1"/>
    <col min="13" max="13" width="16.88671875" style="21" hidden="1" customWidth="1"/>
    <col min="14" max="16384" width="8.88671875" style="21"/>
  </cols>
  <sheetData>
    <row r="1" spans="1:14" ht="18" hidden="1" x14ac:dyDescent="0.35">
      <c r="I1" s="261"/>
      <c r="J1" s="261"/>
      <c r="K1" s="162" t="s">
        <v>462</v>
      </c>
      <c r="L1" s="261"/>
    </row>
    <row r="2" spans="1:14" ht="18" hidden="1" x14ac:dyDescent="0.35">
      <c r="I2" s="163"/>
      <c r="J2" s="163"/>
      <c r="K2" s="162" t="s">
        <v>343</v>
      </c>
      <c r="L2" s="260"/>
    </row>
    <row r="3" spans="1:14" ht="18" hidden="1" x14ac:dyDescent="0.35">
      <c r="I3" s="163"/>
      <c r="J3" s="163"/>
      <c r="K3" s="162" t="s">
        <v>441</v>
      </c>
      <c r="L3" s="260"/>
    </row>
    <row r="4" spans="1:14" ht="18" hidden="1" x14ac:dyDescent="0.35">
      <c r="I4" s="163"/>
      <c r="J4" s="163"/>
      <c r="K4" s="162" t="s">
        <v>442</v>
      </c>
      <c r="L4" s="162"/>
    </row>
    <row r="5" spans="1:14" ht="18" hidden="1" x14ac:dyDescent="0.35">
      <c r="I5" s="163"/>
      <c r="J5" s="21"/>
      <c r="K5" s="162" t="s">
        <v>345</v>
      </c>
      <c r="L5" s="260"/>
      <c r="N5" s="260"/>
    </row>
    <row r="6" spans="1:14" ht="18" hidden="1" x14ac:dyDescent="0.35">
      <c r="I6" s="163"/>
      <c r="J6" s="163"/>
      <c r="K6" s="162" t="s">
        <v>443</v>
      </c>
      <c r="L6" s="163"/>
    </row>
    <row r="7" spans="1:14" ht="18" hidden="1" x14ac:dyDescent="0.35">
      <c r="I7" s="260" t="s">
        <v>444</v>
      </c>
      <c r="K7" s="260"/>
      <c r="L7" s="260"/>
      <c r="M7" s="260"/>
      <c r="N7" s="163"/>
    </row>
    <row r="8" spans="1:14" hidden="1" x14ac:dyDescent="0.3"/>
    <row r="9" spans="1:14" hidden="1" x14ac:dyDescent="0.3"/>
    <row r="10" spans="1:14" hidden="1" x14ac:dyDescent="0.3"/>
    <row r="11" spans="1:14" x14ac:dyDescent="0.3">
      <c r="A11" s="454" t="s">
        <v>39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</row>
    <row r="12" spans="1:14" x14ac:dyDescent="0.3">
      <c r="A12" s="454" t="s">
        <v>40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</row>
    <row r="13" spans="1:14" x14ac:dyDescent="0.3">
      <c r="A13" s="455" t="s">
        <v>41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14" ht="17.25" customHeight="1" x14ac:dyDescent="0.3">
      <c r="A14" s="455" t="s">
        <v>42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</row>
    <row r="15" spans="1:14" ht="15" customHeight="1" x14ac:dyDescent="0.3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4" ht="18" x14ac:dyDescent="0.35">
      <c r="A16" s="22"/>
      <c r="B16" s="23"/>
      <c r="C16" s="23"/>
      <c r="D16" s="23"/>
      <c r="E16" s="23"/>
      <c r="F16" s="23"/>
      <c r="G16" s="23"/>
      <c r="H16" s="23"/>
      <c r="J16" s="24"/>
      <c r="K16" s="168" t="s">
        <v>445</v>
      </c>
      <c r="L16" s="25" t="s">
        <v>313</v>
      </c>
    </row>
    <row r="17" spans="1:13" ht="43.2" customHeight="1" x14ac:dyDescent="0.25">
      <c r="A17" s="456" t="s">
        <v>1</v>
      </c>
      <c r="B17" s="440" t="s">
        <v>43</v>
      </c>
      <c r="C17" s="440" t="s">
        <v>3</v>
      </c>
      <c r="D17" s="440" t="s">
        <v>178</v>
      </c>
      <c r="E17" s="440" t="s">
        <v>3</v>
      </c>
      <c r="F17" s="440" t="s">
        <v>179</v>
      </c>
      <c r="G17" s="440" t="s">
        <v>180</v>
      </c>
      <c r="H17" s="440" t="s">
        <v>181</v>
      </c>
      <c r="I17" s="440" t="s">
        <v>182</v>
      </c>
      <c r="J17" s="440" t="s">
        <v>183</v>
      </c>
      <c r="K17" s="440" t="s">
        <v>353</v>
      </c>
      <c r="L17" s="440" t="s">
        <v>44</v>
      </c>
      <c r="M17" s="440" t="s">
        <v>354</v>
      </c>
    </row>
    <row r="18" spans="1:13" ht="120" customHeight="1" x14ac:dyDescent="0.25">
      <c r="A18" s="457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</row>
    <row r="19" spans="1:13" ht="16.5" customHeight="1" x14ac:dyDescent="0.35">
      <c r="A19" s="26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7">
        <v>4</v>
      </c>
      <c r="I19" s="27">
        <v>4</v>
      </c>
      <c r="J19" s="27">
        <v>5</v>
      </c>
      <c r="K19" s="27">
        <v>6</v>
      </c>
      <c r="L19" s="27">
        <v>6</v>
      </c>
      <c r="M19" s="27">
        <v>7</v>
      </c>
    </row>
    <row r="20" spans="1:13" x14ac:dyDescent="0.3">
      <c r="A20" s="28">
        <v>1</v>
      </c>
      <c r="B20" s="442" t="s">
        <v>45</v>
      </c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4"/>
    </row>
    <row r="21" spans="1:13" s="307" customFormat="1" ht="36" x14ac:dyDescent="0.35">
      <c r="A21" s="29" t="s">
        <v>46</v>
      </c>
      <c r="B21" s="30" t="s">
        <v>47</v>
      </c>
      <c r="C21" s="31" t="s">
        <v>48</v>
      </c>
      <c r="D21" s="32"/>
      <c r="E21" s="31"/>
      <c r="F21" s="31"/>
      <c r="G21" s="33"/>
      <c r="H21" s="33"/>
      <c r="I21" s="153"/>
      <c r="J21" s="153">
        <v>6.05</v>
      </c>
      <c r="K21" s="153">
        <f t="shared" ref="K21:K71" si="0">I21+J21</f>
        <v>6.05</v>
      </c>
      <c r="L21" s="33">
        <v>60500</v>
      </c>
      <c r="M21" s="33">
        <v>60500</v>
      </c>
    </row>
    <row r="22" spans="1:13" s="307" customFormat="1" ht="72" x14ac:dyDescent="0.35">
      <c r="A22" s="29" t="s">
        <v>49</v>
      </c>
      <c r="B22" s="30" t="s">
        <v>50</v>
      </c>
      <c r="C22" s="31" t="s">
        <v>51</v>
      </c>
      <c r="D22" s="32"/>
      <c r="E22" s="31"/>
      <c r="F22" s="31"/>
      <c r="G22" s="33"/>
      <c r="H22" s="33">
        <v>2806.3</v>
      </c>
      <c r="I22" s="153">
        <v>0.28000000000000003</v>
      </c>
      <c r="J22" s="153"/>
      <c r="K22" s="153">
        <f t="shared" si="0"/>
        <v>0.28000000000000003</v>
      </c>
      <c r="L22" s="33">
        <v>2800</v>
      </c>
      <c r="M22" s="33">
        <v>2800</v>
      </c>
    </row>
    <row r="23" spans="1:13" s="307" customFormat="1" ht="18" hidden="1" x14ac:dyDescent="0.35">
      <c r="A23" s="29"/>
      <c r="B23" s="30"/>
      <c r="C23" s="31"/>
      <c r="D23" s="34" t="s">
        <v>184</v>
      </c>
      <c r="E23" s="31" t="s">
        <v>185</v>
      </c>
      <c r="F23" s="31">
        <v>1E-3</v>
      </c>
      <c r="G23" s="35">
        <v>40300</v>
      </c>
      <c r="H23" s="33">
        <v>40.300000000000004</v>
      </c>
      <c r="I23" s="153"/>
      <c r="J23" s="153"/>
      <c r="K23" s="153">
        <f t="shared" si="0"/>
        <v>0</v>
      </c>
      <c r="L23" s="33"/>
    </row>
    <row r="24" spans="1:13" s="307" customFormat="1" ht="31.8" hidden="1" x14ac:dyDescent="0.35">
      <c r="A24" s="29"/>
      <c r="B24" s="27"/>
      <c r="C24" s="31"/>
      <c r="D24" s="34" t="s">
        <v>186</v>
      </c>
      <c r="E24" s="31" t="s">
        <v>185</v>
      </c>
      <c r="F24" s="31">
        <v>1</v>
      </c>
      <c r="G24" s="35">
        <v>888</v>
      </c>
      <c r="H24" s="33">
        <v>888</v>
      </c>
      <c r="I24" s="153"/>
      <c r="J24" s="153"/>
      <c r="K24" s="153">
        <f t="shared" si="0"/>
        <v>0</v>
      </c>
      <c r="L24" s="33"/>
    </row>
    <row r="25" spans="1:13" s="307" customFormat="1" ht="31.8" hidden="1" x14ac:dyDescent="0.35">
      <c r="A25" s="36"/>
      <c r="B25" s="37"/>
      <c r="C25" s="38"/>
      <c r="D25" s="39" t="s">
        <v>187</v>
      </c>
      <c r="E25" s="38" t="s">
        <v>185</v>
      </c>
      <c r="F25" s="38">
        <v>1</v>
      </c>
      <c r="G25" s="35">
        <v>262</v>
      </c>
      <c r="H25" s="33">
        <v>262</v>
      </c>
      <c r="I25" s="153"/>
      <c r="J25" s="153"/>
      <c r="K25" s="153">
        <f t="shared" si="0"/>
        <v>0</v>
      </c>
      <c r="L25" s="33"/>
    </row>
    <row r="26" spans="1:13" s="307" customFormat="1" ht="18" hidden="1" x14ac:dyDescent="0.35">
      <c r="A26" s="29"/>
      <c r="B26" s="27"/>
      <c r="C26" s="31"/>
      <c r="D26" s="34" t="s">
        <v>188</v>
      </c>
      <c r="E26" s="31" t="s">
        <v>185</v>
      </c>
      <c r="F26" s="31">
        <v>1</v>
      </c>
      <c r="G26" s="35">
        <v>648</v>
      </c>
      <c r="H26" s="33">
        <v>648</v>
      </c>
      <c r="I26" s="153"/>
      <c r="J26" s="153"/>
      <c r="K26" s="153">
        <f t="shared" si="0"/>
        <v>0</v>
      </c>
      <c r="L26" s="33"/>
    </row>
    <row r="27" spans="1:13" s="307" customFormat="1" ht="31.8" hidden="1" x14ac:dyDescent="0.35">
      <c r="A27" s="29"/>
      <c r="B27" s="27"/>
      <c r="C27" s="31"/>
      <c r="D27" s="34" t="s">
        <v>189</v>
      </c>
      <c r="E27" s="31" t="s">
        <v>185</v>
      </c>
      <c r="F27" s="31">
        <v>1</v>
      </c>
      <c r="G27" s="35">
        <v>800</v>
      </c>
      <c r="H27" s="33">
        <v>800</v>
      </c>
      <c r="I27" s="153"/>
      <c r="J27" s="153"/>
      <c r="K27" s="153">
        <f t="shared" si="0"/>
        <v>0</v>
      </c>
      <c r="L27" s="33"/>
    </row>
    <row r="28" spans="1:13" s="307" customFormat="1" ht="18" hidden="1" x14ac:dyDescent="0.35">
      <c r="A28" s="29"/>
      <c r="B28" s="27"/>
      <c r="C28" s="31"/>
      <c r="D28" s="34" t="s">
        <v>190</v>
      </c>
      <c r="E28" s="31" t="s">
        <v>185</v>
      </c>
      <c r="F28" s="31">
        <v>4</v>
      </c>
      <c r="G28" s="35">
        <v>42</v>
      </c>
      <c r="H28" s="33">
        <v>168</v>
      </c>
      <c r="I28" s="153"/>
      <c r="J28" s="153"/>
      <c r="K28" s="153">
        <f t="shared" si="0"/>
        <v>0</v>
      </c>
      <c r="L28" s="33"/>
    </row>
    <row r="29" spans="1:13" s="307" customFormat="1" ht="28.5" hidden="1" customHeight="1" x14ac:dyDescent="0.35">
      <c r="A29" s="29"/>
      <c r="B29" s="27"/>
      <c r="C29" s="31"/>
      <c r="D29" s="34"/>
      <c r="E29" s="31"/>
      <c r="F29" s="31"/>
      <c r="G29" s="33"/>
      <c r="H29" s="33"/>
      <c r="I29" s="153"/>
      <c r="J29" s="153"/>
      <c r="K29" s="153">
        <f t="shared" si="0"/>
        <v>0</v>
      </c>
      <c r="L29" s="33"/>
    </row>
    <row r="30" spans="1:13" s="307" customFormat="1" ht="36" x14ac:dyDescent="0.35">
      <c r="A30" s="29" t="s">
        <v>52</v>
      </c>
      <c r="B30" s="30" t="s">
        <v>53</v>
      </c>
      <c r="C30" s="31" t="s">
        <v>54</v>
      </c>
      <c r="D30" s="34"/>
      <c r="E30" s="31"/>
      <c r="F30" s="31"/>
      <c r="G30" s="33"/>
      <c r="H30" s="33"/>
      <c r="I30" s="153"/>
      <c r="J30" s="153">
        <v>3.54</v>
      </c>
      <c r="K30" s="153">
        <f t="shared" si="0"/>
        <v>3.54</v>
      </c>
      <c r="L30" s="33">
        <v>35400</v>
      </c>
      <c r="M30" s="33">
        <v>35400</v>
      </c>
    </row>
    <row r="31" spans="1:13" s="307" customFormat="1" ht="36" x14ac:dyDescent="0.35">
      <c r="A31" s="29" t="s">
        <v>55</v>
      </c>
      <c r="B31" s="30" t="s">
        <v>56</v>
      </c>
      <c r="C31" s="31" t="s">
        <v>51</v>
      </c>
      <c r="D31" s="34"/>
      <c r="E31" s="31"/>
      <c r="F31" s="31"/>
      <c r="G31" s="33"/>
      <c r="H31" s="33">
        <v>1517.43</v>
      </c>
      <c r="I31" s="153">
        <v>0.15</v>
      </c>
      <c r="J31" s="153">
        <v>1.42</v>
      </c>
      <c r="K31" s="153">
        <f t="shared" si="0"/>
        <v>1.5699999999999998</v>
      </c>
      <c r="L31" s="33">
        <v>15700</v>
      </c>
      <c r="M31" s="33">
        <v>15700</v>
      </c>
    </row>
    <row r="32" spans="1:13" s="307" customFormat="1" ht="18" hidden="1" x14ac:dyDescent="0.35">
      <c r="A32" s="29"/>
      <c r="B32" s="27"/>
      <c r="C32" s="31"/>
      <c r="D32" s="34" t="s">
        <v>191</v>
      </c>
      <c r="E32" s="31" t="s">
        <v>192</v>
      </c>
      <c r="F32" s="31">
        <v>0.1</v>
      </c>
      <c r="G32" s="33">
        <v>15174.3</v>
      </c>
      <c r="H32" s="33">
        <v>1517.43</v>
      </c>
      <c r="I32" s="153"/>
      <c r="J32" s="153"/>
      <c r="K32" s="153">
        <f t="shared" si="0"/>
        <v>0</v>
      </c>
      <c r="L32" s="33"/>
    </row>
    <row r="33" spans="1:13" s="307" customFormat="1" ht="36" x14ac:dyDescent="0.35">
      <c r="A33" s="29" t="s">
        <v>57</v>
      </c>
      <c r="B33" s="30" t="s">
        <v>58</v>
      </c>
      <c r="C33" s="31" t="s">
        <v>51</v>
      </c>
      <c r="D33" s="34"/>
      <c r="E33" s="31"/>
      <c r="F33" s="31"/>
      <c r="G33" s="33"/>
      <c r="H33" s="33">
        <v>1517.43</v>
      </c>
      <c r="I33" s="153">
        <v>0.15</v>
      </c>
      <c r="J33" s="153">
        <v>1.06</v>
      </c>
      <c r="K33" s="153">
        <f t="shared" si="0"/>
        <v>1.21</v>
      </c>
      <c r="L33" s="33">
        <v>12100</v>
      </c>
      <c r="M33" s="33">
        <v>12100</v>
      </c>
    </row>
    <row r="34" spans="1:13" s="307" customFormat="1" ht="18" hidden="1" x14ac:dyDescent="0.35">
      <c r="A34" s="29"/>
      <c r="B34" s="27"/>
      <c r="C34" s="31"/>
      <c r="D34" s="34" t="s">
        <v>191</v>
      </c>
      <c r="E34" s="31" t="s">
        <v>192</v>
      </c>
      <c r="F34" s="31">
        <v>0.1</v>
      </c>
      <c r="G34" s="33">
        <v>15174.3</v>
      </c>
      <c r="H34" s="33">
        <v>1517.43</v>
      </c>
      <c r="I34" s="153"/>
      <c r="J34" s="153"/>
      <c r="K34" s="153">
        <f t="shared" si="0"/>
        <v>0</v>
      </c>
      <c r="L34" s="33"/>
    </row>
    <row r="35" spans="1:13" s="307" customFormat="1" ht="23.4" hidden="1" customHeight="1" x14ac:dyDescent="0.35">
      <c r="A35" s="40" t="s">
        <v>59</v>
      </c>
      <c r="B35" s="41" t="s">
        <v>193</v>
      </c>
      <c r="C35" s="42" t="s">
        <v>51</v>
      </c>
      <c r="D35" s="43"/>
      <c r="E35" s="42"/>
      <c r="F35" s="42"/>
      <c r="G35" s="44"/>
      <c r="H35" s="44">
        <v>2487</v>
      </c>
      <c r="I35" s="154">
        <v>2500</v>
      </c>
      <c r="J35" s="154">
        <v>14200</v>
      </c>
      <c r="K35" s="153">
        <f t="shared" si="0"/>
        <v>16700</v>
      </c>
      <c r="L35" s="33">
        <v>7010</v>
      </c>
    </row>
    <row r="36" spans="1:13" s="307" customFormat="1" ht="18" hidden="1" x14ac:dyDescent="0.35">
      <c r="A36" s="40"/>
      <c r="B36" s="45"/>
      <c r="C36" s="42"/>
      <c r="D36" s="43" t="s">
        <v>194</v>
      </c>
      <c r="E36" s="42" t="s">
        <v>185</v>
      </c>
      <c r="F36" s="42">
        <v>0.1</v>
      </c>
      <c r="G36" s="44">
        <v>10270</v>
      </c>
      <c r="H36" s="44">
        <v>1027</v>
      </c>
      <c r="I36" s="154"/>
      <c r="J36" s="154"/>
      <c r="K36" s="153">
        <f t="shared" si="0"/>
        <v>0</v>
      </c>
      <c r="L36" s="33"/>
    </row>
    <row r="37" spans="1:13" s="307" customFormat="1" ht="31.8" hidden="1" x14ac:dyDescent="0.35">
      <c r="A37" s="40"/>
      <c r="B37" s="45"/>
      <c r="C37" s="42"/>
      <c r="D37" s="43" t="s">
        <v>195</v>
      </c>
      <c r="E37" s="42" t="s">
        <v>185</v>
      </c>
      <c r="F37" s="42">
        <v>0.1</v>
      </c>
      <c r="G37" s="44">
        <v>3100</v>
      </c>
      <c r="H37" s="44">
        <v>310</v>
      </c>
      <c r="I37" s="154"/>
      <c r="J37" s="154"/>
      <c r="K37" s="153">
        <f t="shared" si="0"/>
        <v>0</v>
      </c>
      <c r="L37" s="33"/>
    </row>
    <row r="38" spans="1:13" s="307" customFormat="1" ht="31.8" hidden="1" x14ac:dyDescent="0.35">
      <c r="A38" s="40"/>
      <c r="B38" s="45"/>
      <c r="C38" s="42"/>
      <c r="D38" s="43" t="s">
        <v>196</v>
      </c>
      <c r="E38" s="42" t="s">
        <v>185</v>
      </c>
      <c r="F38" s="42">
        <v>0.1</v>
      </c>
      <c r="G38" s="44">
        <v>8400</v>
      </c>
      <c r="H38" s="44">
        <v>840</v>
      </c>
      <c r="I38" s="154"/>
      <c r="J38" s="154"/>
      <c r="K38" s="153">
        <f t="shared" si="0"/>
        <v>0</v>
      </c>
      <c r="L38" s="33"/>
    </row>
    <row r="39" spans="1:13" s="307" customFormat="1" ht="18" hidden="1" x14ac:dyDescent="0.35">
      <c r="A39" s="40"/>
      <c r="B39" s="46"/>
      <c r="C39" s="42"/>
      <c r="D39" s="43" t="s">
        <v>197</v>
      </c>
      <c r="E39" s="42" t="s">
        <v>185</v>
      </c>
      <c r="F39" s="42">
        <v>0.1</v>
      </c>
      <c r="G39" s="44">
        <v>3100</v>
      </c>
      <c r="H39" s="44">
        <v>310</v>
      </c>
      <c r="I39" s="154"/>
      <c r="J39" s="154"/>
      <c r="K39" s="153">
        <f t="shared" si="0"/>
        <v>0</v>
      </c>
      <c r="L39" s="33"/>
    </row>
    <row r="40" spans="1:13" s="307" customFormat="1" ht="36" x14ac:dyDescent="0.35">
      <c r="A40" s="29" t="s">
        <v>59</v>
      </c>
      <c r="B40" s="47" t="s">
        <v>60</v>
      </c>
      <c r="C40" s="31" t="s">
        <v>51</v>
      </c>
      <c r="D40" s="34"/>
      <c r="E40" s="31"/>
      <c r="F40" s="31"/>
      <c r="G40" s="33"/>
      <c r="H40" s="33"/>
      <c r="I40" s="153"/>
      <c r="J40" s="153">
        <v>2.83</v>
      </c>
      <c r="K40" s="153">
        <f t="shared" si="0"/>
        <v>2.83</v>
      </c>
      <c r="L40" s="33">
        <v>28300</v>
      </c>
      <c r="M40" s="33">
        <v>28300</v>
      </c>
    </row>
    <row r="41" spans="1:13" s="307" customFormat="1" ht="36" x14ac:dyDescent="0.35">
      <c r="A41" s="29" t="s">
        <v>61</v>
      </c>
      <c r="B41" s="30" t="s">
        <v>62</v>
      </c>
      <c r="C41" s="31" t="s">
        <v>51</v>
      </c>
      <c r="D41" s="34"/>
      <c r="E41" s="31"/>
      <c r="F41" s="31"/>
      <c r="G41" s="33"/>
      <c r="H41" s="33">
        <v>2559.8583333333331</v>
      </c>
      <c r="I41" s="153">
        <v>0.26</v>
      </c>
      <c r="J41" s="153">
        <v>1.06</v>
      </c>
      <c r="K41" s="153">
        <f t="shared" si="0"/>
        <v>1.32</v>
      </c>
      <c r="L41" s="33">
        <v>13200</v>
      </c>
      <c r="M41" s="33">
        <v>13200</v>
      </c>
    </row>
    <row r="42" spans="1:13" s="307" customFormat="1" ht="18" hidden="1" x14ac:dyDescent="0.35">
      <c r="A42" s="29"/>
      <c r="B42" s="27"/>
      <c r="C42" s="31"/>
      <c r="D42" s="34" t="s">
        <v>198</v>
      </c>
      <c r="E42" s="31" t="s">
        <v>185</v>
      </c>
      <c r="F42" s="31">
        <v>0.1</v>
      </c>
      <c r="G42" s="33">
        <v>5320</v>
      </c>
      <c r="H42" s="33">
        <v>532</v>
      </c>
      <c r="I42" s="153"/>
      <c r="J42" s="153"/>
      <c r="K42" s="153">
        <f t="shared" si="0"/>
        <v>0</v>
      </c>
      <c r="L42" s="33"/>
    </row>
    <row r="43" spans="1:13" s="307" customFormat="1" ht="31.8" hidden="1" x14ac:dyDescent="0.35">
      <c r="A43" s="29"/>
      <c r="B43" s="27"/>
      <c r="C43" s="31"/>
      <c r="D43" s="34" t="s">
        <v>199</v>
      </c>
      <c r="E43" s="31" t="s">
        <v>185</v>
      </c>
      <c r="F43" s="31">
        <v>0.2</v>
      </c>
      <c r="G43" s="33">
        <v>1800</v>
      </c>
      <c r="H43" s="33">
        <v>360</v>
      </c>
      <c r="I43" s="153"/>
      <c r="J43" s="153"/>
      <c r="K43" s="153">
        <f t="shared" si="0"/>
        <v>0</v>
      </c>
      <c r="L43" s="33"/>
    </row>
    <row r="44" spans="1:13" s="307" customFormat="1" ht="31.8" hidden="1" x14ac:dyDescent="0.35">
      <c r="A44" s="29"/>
      <c r="B44" s="27"/>
      <c r="C44" s="31"/>
      <c r="D44" s="34" t="s">
        <v>200</v>
      </c>
      <c r="E44" s="31" t="s">
        <v>201</v>
      </c>
      <c r="F44" s="31">
        <v>0.1</v>
      </c>
      <c r="G44" s="33">
        <v>266.66666666666669</v>
      </c>
      <c r="H44" s="33">
        <v>26.666666666666671</v>
      </c>
      <c r="I44" s="153"/>
      <c r="J44" s="153"/>
      <c r="K44" s="153">
        <f t="shared" si="0"/>
        <v>0</v>
      </c>
      <c r="L44" s="33"/>
    </row>
    <row r="45" spans="1:13" s="307" customFormat="1" ht="18" hidden="1" x14ac:dyDescent="0.35">
      <c r="A45" s="29"/>
      <c r="B45" s="27"/>
      <c r="C45" s="31"/>
      <c r="D45" s="34" t="s">
        <v>202</v>
      </c>
      <c r="E45" s="31" t="s">
        <v>192</v>
      </c>
      <c r="F45" s="31">
        <v>1</v>
      </c>
      <c r="G45" s="35">
        <v>31</v>
      </c>
      <c r="H45" s="33">
        <v>31</v>
      </c>
      <c r="I45" s="153"/>
      <c r="J45" s="153"/>
      <c r="K45" s="153">
        <f t="shared" si="0"/>
        <v>0</v>
      </c>
      <c r="L45" s="33"/>
    </row>
    <row r="46" spans="1:13" s="307" customFormat="1" ht="18" hidden="1" x14ac:dyDescent="0.35">
      <c r="A46" s="29"/>
      <c r="B46" s="27"/>
      <c r="C46" s="31"/>
      <c r="D46" s="34" t="s">
        <v>203</v>
      </c>
      <c r="E46" s="31" t="s">
        <v>185</v>
      </c>
      <c r="F46" s="31">
        <v>1</v>
      </c>
      <c r="G46" s="35">
        <v>1024.7750000000001</v>
      </c>
      <c r="H46" s="33">
        <v>1024.7750000000001</v>
      </c>
      <c r="I46" s="153"/>
      <c r="J46" s="153"/>
      <c r="K46" s="153">
        <f t="shared" si="0"/>
        <v>0</v>
      </c>
      <c r="L46" s="33"/>
    </row>
    <row r="47" spans="1:13" s="307" customFormat="1" ht="18" hidden="1" x14ac:dyDescent="0.35">
      <c r="A47" s="29"/>
      <c r="B47" s="27"/>
      <c r="C47" s="31"/>
      <c r="D47" s="34" t="s">
        <v>204</v>
      </c>
      <c r="E47" s="31" t="s">
        <v>185</v>
      </c>
      <c r="F47" s="31">
        <v>0.25</v>
      </c>
      <c r="G47" s="35">
        <v>2341.6666666666665</v>
      </c>
      <c r="H47" s="33">
        <v>585.41666666666663</v>
      </c>
      <c r="I47" s="153"/>
      <c r="J47" s="153"/>
      <c r="K47" s="153">
        <f t="shared" si="0"/>
        <v>0</v>
      </c>
      <c r="L47" s="33"/>
    </row>
    <row r="48" spans="1:13" s="307" customFormat="1" ht="36" x14ac:dyDescent="0.35">
      <c r="A48" s="29" t="s">
        <v>63</v>
      </c>
      <c r="B48" s="30" t="s">
        <v>64</v>
      </c>
      <c r="C48" s="31" t="s">
        <v>51</v>
      </c>
      <c r="D48" s="34"/>
      <c r="E48" s="31"/>
      <c r="F48" s="31"/>
      <c r="G48" s="33"/>
      <c r="H48" s="33">
        <v>71.300000000000011</v>
      </c>
      <c r="I48" s="153">
        <v>0.01</v>
      </c>
      <c r="J48" s="153">
        <v>2.12</v>
      </c>
      <c r="K48" s="153">
        <f t="shared" si="0"/>
        <v>2.13</v>
      </c>
      <c r="L48" s="33">
        <v>21300</v>
      </c>
      <c r="M48" s="33">
        <v>21300</v>
      </c>
    </row>
    <row r="49" spans="1:13" s="307" customFormat="1" ht="18" hidden="1" x14ac:dyDescent="0.35">
      <c r="A49" s="29"/>
      <c r="B49" s="27"/>
      <c r="C49" s="31"/>
      <c r="D49" s="34" t="s">
        <v>202</v>
      </c>
      <c r="E49" s="31" t="s">
        <v>192</v>
      </c>
      <c r="F49" s="31">
        <v>1</v>
      </c>
      <c r="G49" s="48">
        <v>31</v>
      </c>
      <c r="H49" s="33">
        <v>31</v>
      </c>
      <c r="I49" s="153"/>
      <c r="J49" s="153"/>
      <c r="K49" s="153">
        <f t="shared" si="0"/>
        <v>0</v>
      </c>
      <c r="L49" s="33"/>
    </row>
    <row r="50" spans="1:13" s="307" customFormat="1" ht="18" hidden="1" x14ac:dyDescent="0.35">
      <c r="A50" s="29"/>
      <c r="B50" s="27"/>
      <c r="C50" s="31"/>
      <c r="D50" s="34" t="s">
        <v>184</v>
      </c>
      <c r="E50" s="31" t="s">
        <v>192</v>
      </c>
      <c r="F50" s="31">
        <v>1E-3</v>
      </c>
      <c r="G50" s="48">
        <v>40300</v>
      </c>
      <c r="H50" s="33">
        <v>40.300000000000004</v>
      </c>
      <c r="I50" s="153"/>
      <c r="J50" s="153"/>
      <c r="K50" s="153">
        <f t="shared" si="0"/>
        <v>0</v>
      </c>
      <c r="L50" s="33"/>
    </row>
    <row r="51" spans="1:13" s="307" customFormat="1" ht="36" hidden="1" x14ac:dyDescent="0.35">
      <c r="A51" s="49" t="s">
        <v>65</v>
      </c>
      <c r="B51" s="41" t="s">
        <v>205</v>
      </c>
      <c r="C51" s="42" t="s">
        <v>51</v>
      </c>
      <c r="D51" s="43"/>
      <c r="E51" s="42"/>
      <c r="F51" s="42"/>
      <c r="G51" s="44"/>
      <c r="H51" s="44">
        <v>168.09</v>
      </c>
      <c r="I51" s="154">
        <v>150</v>
      </c>
      <c r="J51" s="154">
        <v>14200</v>
      </c>
      <c r="K51" s="153">
        <f t="shared" si="0"/>
        <v>14350</v>
      </c>
      <c r="L51" s="33">
        <v>4680</v>
      </c>
    </row>
    <row r="52" spans="1:13" s="307" customFormat="1" ht="18" hidden="1" x14ac:dyDescent="0.35">
      <c r="A52" s="40"/>
      <c r="B52" s="41"/>
      <c r="C52" s="42"/>
      <c r="D52" s="50" t="s">
        <v>206</v>
      </c>
      <c r="E52" s="45" t="s">
        <v>185</v>
      </c>
      <c r="F52" s="51">
        <v>1E-3</v>
      </c>
      <c r="G52" s="44">
        <v>137090</v>
      </c>
      <c r="H52" s="44">
        <v>137.09</v>
      </c>
      <c r="I52" s="154"/>
      <c r="J52" s="154"/>
      <c r="K52" s="153">
        <f t="shared" si="0"/>
        <v>0</v>
      </c>
      <c r="L52" s="33"/>
    </row>
    <row r="53" spans="1:13" s="307" customFormat="1" ht="18" hidden="1" x14ac:dyDescent="0.35">
      <c r="A53" s="40"/>
      <c r="B53" s="45"/>
      <c r="C53" s="42"/>
      <c r="D53" s="50" t="s">
        <v>202</v>
      </c>
      <c r="E53" s="45" t="s">
        <v>192</v>
      </c>
      <c r="F53" s="51">
        <v>1</v>
      </c>
      <c r="G53" s="48">
        <v>31</v>
      </c>
      <c r="H53" s="44">
        <v>31</v>
      </c>
      <c r="I53" s="154"/>
      <c r="J53" s="154"/>
      <c r="K53" s="153">
        <f t="shared" si="0"/>
        <v>0</v>
      </c>
      <c r="L53" s="33"/>
    </row>
    <row r="54" spans="1:13" s="307" customFormat="1" ht="18" x14ac:dyDescent="0.35">
      <c r="A54" s="29" t="s">
        <v>66</v>
      </c>
      <c r="B54" s="30" t="s">
        <v>67</v>
      </c>
      <c r="C54" s="31" t="s">
        <v>51</v>
      </c>
      <c r="D54" s="34"/>
      <c r="E54" s="31"/>
      <c r="F54" s="31"/>
      <c r="G54" s="33"/>
      <c r="H54" s="33">
        <v>126.27</v>
      </c>
      <c r="I54" s="153">
        <v>0.02</v>
      </c>
      <c r="J54" s="153">
        <v>1.77</v>
      </c>
      <c r="K54" s="153">
        <f t="shared" si="0"/>
        <v>1.79</v>
      </c>
      <c r="L54" s="33">
        <v>17900</v>
      </c>
      <c r="M54" s="33">
        <v>17900</v>
      </c>
    </row>
    <row r="55" spans="1:13" s="307" customFormat="1" ht="31.8" hidden="1" x14ac:dyDescent="0.35">
      <c r="A55" s="29"/>
      <c r="B55" s="27"/>
      <c r="C55" s="31"/>
      <c r="D55" s="34" t="s">
        <v>207</v>
      </c>
      <c r="E55" s="31" t="s">
        <v>201</v>
      </c>
      <c r="F55" s="31">
        <v>0.5</v>
      </c>
      <c r="G55" s="33">
        <v>252.54</v>
      </c>
      <c r="H55" s="33">
        <v>126.27</v>
      </c>
      <c r="I55" s="153"/>
      <c r="J55" s="153"/>
      <c r="K55" s="153">
        <f t="shared" si="0"/>
        <v>0</v>
      </c>
      <c r="L55" s="33"/>
    </row>
    <row r="56" spans="1:13" s="307" customFormat="1" ht="18" x14ac:dyDescent="0.35">
      <c r="A56" s="29" t="s">
        <v>65</v>
      </c>
      <c r="B56" s="30" t="s">
        <v>68</v>
      </c>
      <c r="C56" s="31" t="s">
        <v>51</v>
      </c>
      <c r="D56" s="34"/>
      <c r="E56" s="31"/>
      <c r="F56" s="31"/>
      <c r="G56" s="33"/>
      <c r="H56" s="33">
        <v>6588.3441999999995</v>
      </c>
      <c r="I56" s="153">
        <v>0.66</v>
      </c>
      <c r="J56" s="153">
        <v>4.25</v>
      </c>
      <c r="K56" s="153">
        <f t="shared" si="0"/>
        <v>4.91</v>
      </c>
      <c r="L56" s="33">
        <v>49100</v>
      </c>
      <c r="M56" s="33">
        <v>49100</v>
      </c>
    </row>
    <row r="57" spans="1:13" s="307" customFormat="1" ht="18" hidden="1" x14ac:dyDescent="0.35">
      <c r="A57" s="29"/>
      <c r="B57" s="27"/>
      <c r="C57" s="31"/>
      <c r="D57" s="34" t="s">
        <v>208</v>
      </c>
      <c r="E57" s="31" t="s">
        <v>185</v>
      </c>
      <c r="F57" s="31" t="s">
        <v>209</v>
      </c>
      <c r="G57" s="33"/>
      <c r="H57" s="33"/>
      <c r="I57" s="153"/>
      <c r="J57" s="153"/>
      <c r="K57" s="153">
        <f t="shared" si="0"/>
        <v>0</v>
      </c>
      <c r="L57" s="33"/>
    </row>
    <row r="58" spans="1:13" s="307" customFormat="1" ht="18" hidden="1" x14ac:dyDescent="0.35">
      <c r="A58" s="29"/>
      <c r="B58" s="27"/>
      <c r="C58" s="31"/>
      <c r="D58" s="34" t="s">
        <v>210</v>
      </c>
      <c r="E58" s="31" t="s">
        <v>185</v>
      </c>
      <c r="F58" s="31">
        <v>0.33329999999999999</v>
      </c>
      <c r="G58" s="33">
        <v>9404</v>
      </c>
      <c r="H58" s="33">
        <v>3134.3532</v>
      </c>
      <c r="I58" s="153"/>
      <c r="J58" s="153"/>
      <c r="K58" s="153">
        <f t="shared" si="0"/>
        <v>0</v>
      </c>
      <c r="L58" s="33"/>
    </row>
    <row r="59" spans="1:13" s="307" customFormat="1" ht="18" hidden="1" x14ac:dyDescent="0.35">
      <c r="A59" s="29"/>
      <c r="B59" s="27"/>
      <c r="C59" s="31"/>
      <c r="D59" s="34" t="s">
        <v>194</v>
      </c>
      <c r="E59" s="31" t="s">
        <v>185</v>
      </c>
      <c r="F59" s="31">
        <v>0.33329999999999999</v>
      </c>
      <c r="G59" s="33">
        <v>10270</v>
      </c>
      <c r="H59" s="33">
        <v>3422.991</v>
      </c>
      <c r="I59" s="153"/>
      <c r="J59" s="153"/>
      <c r="K59" s="153">
        <f t="shared" si="0"/>
        <v>0</v>
      </c>
      <c r="L59" s="33"/>
    </row>
    <row r="60" spans="1:13" s="307" customFormat="1" ht="18" hidden="1" x14ac:dyDescent="0.35">
      <c r="A60" s="29"/>
      <c r="B60" s="27"/>
      <c r="C60" s="31"/>
      <c r="D60" s="34" t="s">
        <v>202</v>
      </c>
      <c r="E60" s="31" t="s">
        <v>192</v>
      </c>
      <c r="F60" s="31">
        <v>1</v>
      </c>
      <c r="G60" s="48">
        <v>31</v>
      </c>
      <c r="H60" s="33">
        <v>31</v>
      </c>
      <c r="I60" s="153"/>
      <c r="J60" s="153"/>
      <c r="K60" s="153">
        <f t="shared" si="0"/>
        <v>0</v>
      </c>
      <c r="L60" s="33"/>
    </row>
    <row r="61" spans="1:13" s="307" customFormat="1" ht="18" x14ac:dyDescent="0.35">
      <c r="A61" s="29" t="s">
        <v>69</v>
      </c>
      <c r="B61" s="30" t="s">
        <v>70</v>
      </c>
      <c r="C61" s="31" t="s">
        <v>51</v>
      </c>
      <c r="D61" s="34"/>
      <c r="E61" s="31"/>
      <c r="F61" s="31"/>
      <c r="G61" s="33"/>
      <c r="H61" s="33">
        <v>4949.5</v>
      </c>
      <c r="I61" s="153">
        <v>0.05</v>
      </c>
      <c r="J61" s="153">
        <v>2.12</v>
      </c>
      <c r="K61" s="153">
        <f t="shared" si="0"/>
        <v>2.17</v>
      </c>
      <c r="L61" s="33">
        <v>26200</v>
      </c>
      <c r="M61" s="33">
        <v>26200</v>
      </c>
    </row>
    <row r="62" spans="1:13" s="307" customFormat="1" ht="18" hidden="1" x14ac:dyDescent="0.35">
      <c r="A62" s="29"/>
      <c r="B62" s="27"/>
      <c r="C62" s="31"/>
      <c r="D62" s="34" t="s">
        <v>208</v>
      </c>
      <c r="E62" s="31" t="s">
        <v>185</v>
      </c>
      <c r="F62" s="31" t="s">
        <v>211</v>
      </c>
      <c r="G62" s="33">
        <v>0</v>
      </c>
      <c r="H62" s="33"/>
      <c r="I62" s="153"/>
      <c r="J62" s="153"/>
      <c r="K62" s="153">
        <f t="shared" si="0"/>
        <v>0</v>
      </c>
      <c r="L62" s="33"/>
    </row>
    <row r="63" spans="1:13" s="307" customFormat="1" ht="18" hidden="1" x14ac:dyDescent="0.35">
      <c r="A63" s="29"/>
      <c r="B63" s="27"/>
      <c r="C63" s="31"/>
      <c r="D63" s="34" t="s">
        <v>210</v>
      </c>
      <c r="E63" s="31" t="s">
        <v>185</v>
      </c>
      <c r="F63" s="31">
        <v>0.25</v>
      </c>
      <c r="G63" s="33">
        <v>9404</v>
      </c>
      <c r="H63" s="33">
        <v>2351</v>
      </c>
      <c r="I63" s="153"/>
      <c r="J63" s="153"/>
      <c r="K63" s="153">
        <f t="shared" si="0"/>
        <v>0</v>
      </c>
      <c r="L63" s="33"/>
    </row>
    <row r="64" spans="1:13" s="307" customFormat="1" ht="18" hidden="1" x14ac:dyDescent="0.35">
      <c r="A64" s="29"/>
      <c r="B64" s="27"/>
      <c r="C64" s="31"/>
      <c r="D64" s="34" t="s">
        <v>194</v>
      </c>
      <c r="E64" s="31" t="s">
        <v>185</v>
      </c>
      <c r="F64" s="31">
        <v>0.25</v>
      </c>
      <c r="G64" s="33">
        <v>10270</v>
      </c>
      <c r="H64" s="33">
        <v>2567.5</v>
      </c>
      <c r="I64" s="153"/>
      <c r="J64" s="153"/>
      <c r="K64" s="153">
        <f t="shared" si="0"/>
        <v>0</v>
      </c>
      <c r="L64" s="33"/>
    </row>
    <row r="65" spans="1:14" s="307" customFormat="1" ht="18" hidden="1" x14ac:dyDescent="0.35">
      <c r="A65" s="29"/>
      <c r="B65" s="27"/>
      <c r="C65" s="31"/>
      <c r="D65" s="34" t="s">
        <v>202</v>
      </c>
      <c r="E65" s="31" t="s">
        <v>192</v>
      </c>
      <c r="F65" s="31">
        <v>1</v>
      </c>
      <c r="G65" s="48">
        <v>31</v>
      </c>
      <c r="H65" s="33">
        <v>31</v>
      </c>
      <c r="I65" s="153"/>
      <c r="J65" s="153"/>
      <c r="K65" s="153">
        <f t="shared" si="0"/>
        <v>0</v>
      </c>
      <c r="L65" s="33"/>
    </row>
    <row r="66" spans="1:14" s="307" customFormat="1" ht="18" x14ac:dyDescent="0.35">
      <c r="A66" s="29" t="s">
        <v>71</v>
      </c>
      <c r="B66" s="30" t="s">
        <v>72</v>
      </c>
      <c r="C66" s="31" t="s">
        <v>51</v>
      </c>
      <c r="D66" s="34"/>
      <c r="E66" s="31"/>
      <c r="F66" s="31"/>
      <c r="G66" s="33"/>
      <c r="H66" s="33">
        <v>7753.7</v>
      </c>
      <c r="I66" s="153">
        <v>0.78</v>
      </c>
      <c r="J66" s="153">
        <v>3.54</v>
      </c>
      <c r="K66" s="153">
        <f t="shared" si="0"/>
        <v>4.32</v>
      </c>
      <c r="L66" s="33">
        <v>43200</v>
      </c>
      <c r="M66" s="33">
        <v>43200</v>
      </c>
    </row>
    <row r="67" spans="1:14" s="307" customFormat="1" ht="19.5" hidden="1" customHeight="1" x14ac:dyDescent="0.35">
      <c r="A67" s="29"/>
      <c r="B67" s="27"/>
      <c r="C67" s="31"/>
      <c r="D67" s="34" t="s">
        <v>212</v>
      </c>
      <c r="E67" s="31" t="s">
        <v>213</v>
      </c>
      <c r="F67" s="31">
        <v>1</v>
      </c>
      <c r="G67" s="35">
        <v>7153.7</v>
      </c>
      <c r="H67" s="33">
        <v>7153.7</v>
      </c>
      <c r="I67" s="153"/>
      <c r="J67" s="153"/>
      <c r="K67" s="153">
        <f t="shared" si="0"/>
        <v>0</v>
      </c>
      <c r="L67" s="33"/>
    </row>
    <row r="68" spans="1:14" s="307" customFormat="1" ht="18" hidden="1" x14ac:dyDescent="0.35">
      <c r="A68" s="29"/>
      <c r="B68" s="27"/>
      <c r="C68" s="31"/>
      <c r="D68" s="34" t="s">
        <v>214</v>
      </c>
      <c r="E68" s="31" t="s">
        <v>185</v>
      </c>
      <c r="F68" s="31">
        <v>1</v>
      </c>
      <c r="G68" s="35">
        <v>600</v>
      </c>
      <c r="H68" s="33">
        <v>600</v>
      </c>
      <c r="I68" s="153"/>
      <c r="J68" s="153"/>
      <c r="K68" s="153">
        <f t="shared" si="0"/>
        <v>0</v>
      </c>
      <c r="L68" s="33"/>
    </row>
    <row r="69" spans="1:14" s="307" customFormat="1" ht="18" x14ac:dyDescent="0.35">
      <c r="A69" s="29" t="s">
        <v>73</v>
      </c>
      <c r="B69" s="30" t="s">
        <v>74</v>
      </c>
      <c r="C69" s="31" t="s">
        <v>51</v>
      </c>
      <c r="D69" s="34"/>
      <c r="E69" s="31"/>
      <c r="F69" s="31"/>
      <c r="G69" s="33"/>
      <c r="H69" s="33">
        <v>7753.7</v>
      </c>
      <c r="I69" s="153">
        <v>0.78</v>
      </c>
      <c r="J69" s="153">
        <v>5.71</v>
      </c>
      <c r="K69" s="153">
        <f t="shared" si="0"/>
        <v>6.49</v>
      </c>
      <c r="L69" s="33">
        <v>64900</v>
      </c>
      <c r="M69" s="33">
        <v>64900</v>
      </c>
    </row>
    <row r="70" spans="1:14" s="307" customFormat="1" ht="19.5" hidden="1" customHeight="1" x14ac:dyDescent="0.35">
      <c r="A70" s="29"/>
      <c r="B70" s="27"/>
      <c r="C70" s="31"/>
      <c r="D70" s="34" t="s">
        <v>212</v>
      </c>
      <c r="E70" s="31" t="s">
        <v>213</v>
      </c>
      <c r="F70" s="31">
        <v>1</v>
      </c>
      <c r="G70" s="48">
        <v>7153.7</v>
      </c>
      <c r="H70" s="33">
        <v>7153.7</v>
      </c>
      <c r="I70" s="33"/>
      <c r="J70" s="33"/>
      <c r="K70" s="153">
        <f t="shared" si="0"/>
        <v>0</v>
      </c>
      <c r="L70" s="33"/>
    </row>
    <row r="71" spans="1:14" s="307" customFormat="1" ht="18" hidden="1" x14ac:dyDescent="0.35">
      <c r="A71" s="29"/>
      <c r="B71" s="308"/>
      <c r="C71" s="309"/>
      <c r="D71" s="310" t="s">
        <v>214</v>
      </c>
      <c r="E71" s="309" t="s">
        <v>185</v>
      </c>
      <c r="F71" s="309">
        <v>1</v>
      </c>
      <c r="G71" s="311">
        <v>600</v>
      </c>
      <c r="H71" s="312">
        <v>600</v>
      </c>
      <c r="I71" s="312"/>
      <c r="J71" s="312"/>
      <c r="K71" s="313">
        <f t="shared" si="0"/>
        <v>0</v>
      </c>
      <c r="L71" s="312"/>
    </row>
    <row r="72" spans="1:14" x14ac:dyDescent="0.25">
      <c r="A72" s="52" t="s">
        <v>75</v>
      </c>
      <c r="B72" s="442" t="s">
        <v>76</v>
      </c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4"/>
      <c r="N72" s="307"/>
    </row>
    <row r="73" spans="1:14" s="307" customFormat="1" ht="53.4" hidden="1" x14ac:dyDescent="0.35">
      <c r="A73" s="40" t="s">
        <v>77</v>
      </c>
      <c r="B73" s="314" t="s">
        <v>215</v>
      </c>
      <c r="C73" s="315" t="s">
        <v>216</v>
      </c>
      <c r="D73" s="316" t="s">
        <v>217</v>
      </c>
      <c r="E73" s="317"/>
      <c r="F73" s="317"/>
      <c r="G73" s="318"/>
      <c r="H73" s="318">
        <v>12363.271666666667</v>
      </c>
      <c r="I73" s="318">
        <v>12350</v>
      </c>
      <c r="J73" s="318">
        <v>35400</v>
      </c>
      <c r="K73" s="318">
        <v>47750</v>
      </c>
      <c r="L73" s="319">
        <v>23470</v>
      </c>
    </row>
    <row r="74" spans="1:14" s="307" customFormat="1" ht="31.8" hidden="1" x14ac:dyDescent="0.35">
      <c r="A74" s="40"/>
      <c r="B74" s="45"/>
      <c r="C74" s="53"/>
      <c r="D74" s="43" t="s">
        <v>218</v>
      </c>
      <c r="E74" s="42" t="s">
        <v>201</v>
      </c>
      <c r="F74" s="42">
        <v>0.1</v>
      </c>
      <c r="G74" s="44">
        <v>107863.75</v>
      </c>
      <c r="H74" s="44">
        <v>10786.375</v>
      </c>
      <c r="I74" s="44"/>
      <c r="J74" s="44"/>
      <c r="K74" s="44">
        <v>0</v>
      </c>
      <c r="L74" s="33"/>
    </row>
    <row r="75" spans="1:14" s="307" customFormat="1" ht="18" hidden="1" x14ac:dyDescent="0.35">
      <c r="A75" s="40"/>
      <c r="B75" s="45"/>
      <c r="C75" s="53"/>
      <c r="D75" s="43" t="s">
        <v>197</v>
      </c>
      <c r="E75" s="42" t="s">
        <v>185</v>
      </c>
      <c r="F75" s="42">
        <v>0.15</v>
      </c>
      <c r="G75" s="44">
        <v>3100</v>
      </c>
      <c r="H75" s="44">
        <v>465</v>
      </c>
      <c r="I75" s="44"/>
      <c r="J75" s="44"/>
      <c r="K75" s="44">
        <v>0</v>
      </c>
      <c r="L75" s="33"/>
    </row>
    <row r="76" spans="1:14" s="307" customFormat="1" ht="18" hidden="1" x14ac:dyDescent="0.35">
      <c r="A76" s="40"/>
      <c r="B76" s="45"/>
      <c r="C76" s="53"/>
      <c r="D76" s="43" t="s">
        <v>198</v>
      </c>
      <c r="E76" s="42" t="s">
        <v>185</v>
      </c>
      <c r="F76" s="42">
        <v>0.05</v>
      </c>
      <c r="G76" s="44">
        <v>4320</v>
      </c>
      <c r="H76" s="44">
        <v>216</v>
      </c>
      <c r="I76" s="44"/>
      <c r="J76" s="44"/>
      <c r="K76" s="44">
        <v>0</v>
      </c>
      <c r="L76" s="33"/>
    </row>
    <row r="77" spans="1:14" s="307" customFormat="1" ht="19.5" hidden="1" customHeight="1" x14ac:dyDescent="0.35">
      <c r="A77" s="40"/>
      <c r="B77" s="45"/>
      <c r="C77" s="53"/>
      <c r="D77" s="43" t="s">
        <v>219</v>
      </c>
      <c r="E77" s="42" t="s">
        <v>201</v>
      </c>
      <c r="F77" s="42">
        <v>0.1</v>
      </c>
      <c r="G77" s="44">
        <v>248.96666666666667</v>
      </c>
      <c r="H77" s="44">
        <v>24.896666666666668</v>
      </c>
      <c r="I77" s="44"/>
      <c r="J77" s="44"/>
      <c r="K77" s="44">
        <v>0</v>
      </c>
      <c r="L77" s="33"/>
    </row>
    <row r="78" spans="1:14" s="307" customFormat="1" ht="40.5" hidden="1" customHeight="1" x14ac:dyDescent="0.35">
      <c r="A78" s="40"/>
      <c r="B78" s="45"/>
      <c r="C78" s="53"/>
      <c r="D78" s="43" t="s">
        <v>196</v>
      </c>
      <c r="E78" s="42" t="s">
        <v>185</v>
      </c>
      <c r="F78" s="42">
        <v>0.1</v>
      </c>
      <c r="G78" s="44">
        <v>8400</v>
      </c>
      <c r="H78" s="44">
        <v>840</v>
      </c>
      <c r="I78" s="44"/>
      <c r="J78" s="44"/>
      <c r="K78" s="44">
        <v>0</v>
      </c>
      <c r="L78" s="33"/>
    </row>
    <row r="79" spans="1:14" s="307" customFormat="1" ht="18" hidden="1" x14ac:dyDescent="0.35">
      <c r="A79" s="40"/>
      <c r="B79" s="45"/>
      <c r="C79" s="53"/>
      <c r="D79" s="43" t="s">
        <v>202</v>
      </c>
      <c r="E79" s="42" t="s">
        <v>192</v>
      </c>
      <c r="F79" s="42">
        <v>1</v>
      </c>
      <c r="G79" s="48">
        <v>31</v>
      </c>
      <c r="H79" s="44">
        <v>31</v>
      </c>
      <c r="I79" s="44"/>
      <c r="J79" s="44"/>
      <c r="K79" s="44">
        <v>0</v>
      </c>
      <c r="L79" s="33"/>
    </row>
    <row r="80" spans="1:14" s="307" customFormat="1" ht="54" hidden="1" x14ac:dyDescent="0.35">
      <c r="A80" s="40" t="s">
        <v>78</v>
      </c>
      <c r="B80" s="41" t="s">
        <v>220</v>
      </c>
      <c r="C80" s="53" t="s">
        <v>216</v>
      </c>
      <c r="D80" s="54" t="s">
        <v>217</v>
      </c>
      <c r="E80" s="42"/>
      <c r="F80" s="42"/>
      <c r="G80" s="44"/>
      <c r="H80" s="44">
        <v>25107.046666666669</v>
      </c>
      <c r="I80" s="44">
        <v>25100</v>
      </c>
      <c r="J80" s="44">
        <v>53100</v>
      </c>
      <c r="K80" s="44">
        <v>78200</v>
      </c>
      <c r="L80" s="33">
        <v>41930</v>
      </c>
    </row>
    <row r="81" spans="1:14" s="307" customFormat="1" ht="31.8" hidden="1" x14ac:dyDescent="0.35">
      <c r="A81" s="40"/>
      <c r="B81" s="45"/>
      <c r="C81" s="42"/>
      <c r="D81" s="43" t="s">
        <v>218</v>
      </c>
      <c r="E81" s="42" t="s">
        <v>201</v>
      </c>
      <c r="F81" s="42">
        <v>0.2</v>
      </c>
      <c r="G81" s="44">
        <v>107863.75</v>
      </c>
      <c r="H81" s="44">
        <v>21572.75</v>
      </c>
      <c r="I81" s="44"/>
      <c r="J81" s="44"/>
      <c r="K81" s="44">
        <v>0</v>
      </c>
      <c r="L81" s="33"/>
    </row>
    <row r="82" spans="1:14" s="307" customFormat="1" ht="18" hidden="1" x14ac:dyDescent="0.35">
      <c r="A82" s="40"/>
      <c r="B82" s="45"/>
      <c r="C82" s="42"/>
      <c r="D82" s="43" t="s">
        <v>197</v>
      </c>
      <c r="E82" s="42" t="s">
        <v>185</v>
      </c>
      <c r="F82" s="42">
        <v>0.15</v>
      </c>
      <c r="G82" s="44">
        <v>3100</v>
      </c>
      <c r="H82" s="44">
        <v>465</v>
      </c>
      <c r="I82" s="44"/>
      <c r="J82" s="44"/>
      <c r="K82" s="44">
        <v>0</v>
      </c>
      <c r="L82" s="33"/>
    </row>
    <row r="83" spans="1:14" s="307" customFormat="1" ht="18" hidden="1" x14ac:dyDescent="0.35">
      <c r="A83" s="40"/>
      <c r="B83" s="45"/>
      <c r="C83" s="42"/>
      <c r="D83" s="43" t="s">
        <v>198</v>
      </c>
      <c r="E83" s="42" t="s">
        <v>185</v>
      </c>
      <c r="F83" s="42">
        <v>0.05</v>
      </c>
      <c r="G83" s="44">
        <v>4320</v>
      </c>
      <c r="H83" s="44">
        <v>216</v>
      </c>
      <c r="I83" s="44"/>
      <c r="J83" s="44"/>
      <c r="K83" s="44">
        <v>0</v>
      </c>
      <c r="L83" s="33"/>
    </row>
    <row r="84" spans="1:14" s="307" customFormat="1" ht="21" hidden="1" customHeight="1" x14ac:dyDescent="0.35">
      <c r="A84" s="40"/>
      <c r="B84" s="45"/>
      <c r="C84" s="42"/>
      <c r="D84" s="43" t="s">
        <v>219</v>
      </c>
      <c r="E84" s="42" t="s">
        <v>201</v>
      </c>
      <c r="F84" s="42">
        <v>0.1</v>
      </c>
      <c r="G84" s="44">
        <v>248.96666666666667</v>
      </c>
      <c r="H84" s="44">
        <v>24.896666666666668</v>
      </c>
      <c r="I84" s="44"/>
      <c r="J84" s="44"/>
      <c r="K84" s="44">
        <v>0</v>
      </c>
      <c r="L84" s="33"/>
    </row>
    <row r="85" spans="1:14" s="307" customFormat="1" ht="37.5" hidden="1" customHeight="1" x14ac:dyDescent="0.35">
      <c r="A85" s="40"/>
      <c r="B85" s="45"/>
      <c r="C85" s="42"/>
      <c r="D85" s="43" t="s">
        <v>196</v>
      </c>
      <c r="E85" s="42" t="s">
        <v>185</v>
      </c>
      <c r="F85" s="42">
        <v>0.1</v>
      </c>
      <c r="G85" s="44">
        <v>8400</v>
      </c>
      <c r="H85" s="44">
        <v>840</v>
      </c>
      <c r="I85" s="44"/>
      <c r="J85" s="44"/>
      <c r="K85" s="44">
        <v>0</v>
      </c>
      <c r="L85" s="33"/>
    </row>
    <row r="86" spans="1:14" s="307" customFormat="1" ht="18" hidden="1" x14ac:dyDescent="0.35">
      <c r="A86" s="40"/>
      <c r="B86" s="45"/>
      <c r="C86" s="42"/>
      <c r="D86" s="43" t="s">
        <v>194</v>
      </c>
      <c r="E86" s="42" t="s">
        <v>185</v>
      </c>
      <c r="F86" s="42">
        <v>0.1</v>
      </c>
      <c r="G86" s="44">
        <v>10270</v>
      </c>
      <c r="H86" s="44">
        <v>1027</v>
      </c>
      <c r="I86" s="44"/>
      <c r="J86" s="44"/>
      <c r="K86" s="44">
        <v>0</v>
      </c>
      <c r="L86" s="33"/>
    </row>
    <row r="87" spans="1:14" s="307" customFormat="1" ht="18" hidden="1" x14ac:dyDescent="0.35">
      <c r="A87" s="40"/>
      <c r="B87" s="45"/>
      <c r="C87" s="42"/>
      <c r="D87" s="43" t="s">
        <v>210</v>
      </c>
      <c r="E87" s="42" t="s">
        <v>185</v>
      </c>
      <c r="F87" s="42">
        <v>0.1</v>
      </c>
      <c r="G87" s="44">
        <v>9304</v>
      </c>
      <c r="H87" s="44">
        <v>930.40000000000009</v>
      </c>
      <c r="I87" s="44"/>
      <c r="J87" s="44"/>
      <c r="K87" s="44">
        <v>0</v>
      </c>
      <c r="L87" s="33"/>
    </row>
    <row r="88" spans="1:14" s="307" customFormat="1" ht="18" hidden="1" x14ac:dyDescent="0.35">
      <c r="A88" s="40"/>
      <c r="B88" s="45"/>
      <c r="C88" s="42"/>
      <c r="D88" s="43" t="s">
        <v>202</v>
      </c>
      <c r="E88" s="42" t="s">
        <v>192</v>
      </c>
      <c r="F88" s="42">
        <v>1</v>
      </c>
      <c r="G88" s="48">
        <v>31</v>
      </c>
      <c r="H88" s="44">
        <v>31</v>
      </c>
      <c r="I88" s="44"/>
      <c r="J88" s="44"/>
      <c r="K88" s="44">
        <v>0</v>
      </c>
      <c r="L88" s="33"/>
    </row>
    <row r="89" spans="1:14" s="55" customFormat="1" ht="90" x14ac:dyDescent="0.35">
      <c r="A89" s="29" t="s">
        <v>77</v>
      </c>
      <c r="B89" s="30" t="s">
        <v>79</v>
      </c>
      <c r="C89" s="31"/>
      <c r="D89" s="34"/>
      <c r="E89" s="31"/>
      <c r="F89" s="31"/>
      <c r="G89" s="33"/>
      <c r="H89" s="33"/>
      <c r="I89" s="33"/>
      <c r="J89" s="33"/>
      <c r="K89" s="33"/>
      <c r="L89" s="33"/>
      <c r="M89" s="158"/>
      <c r="N89" s="307"/>
    </row>
    <row r="90" spans="1:14" s="307" customFormat="1" ht="36" x14ac:dyDescent="0.35">
      <c r="A90" s="29" t="s">
        <v>80</v>
      </c>
      <c r="B90" s="30" t="s">
        <v>81</v>
      </c>
      <c r="C90" s="31" t="s">
        <v>51</v>
      </c>
      <c r="D90" s="34"/>
      <c r="E90" s="31"/>
      <c r="F90" s="31"/>
      <c r="G90" s="33"/>
      <c r="H90" s="33">
        <v>3945.8</v>
      </c>
      <c r="I90" s="153">
        <v>0.4</v>
      </c>
      <c r="J90" s="153">
        <v>2.83</v>
      </c>
      <c r="K90" s="153">
        <f t="shared" ref="K90:K153" si="1">I90+J90</f>
        <v>3.23</v>
      </c>
      <c r="L90" s="33">
        <v>32300</v>
      </c>
      <c r="M90" s="33">
        <v>32300</v>
      </c>
    </row>
    <row r="91" spans="1:14" s="307" customFormat="1" ht="18" hidden="1" x14ac:dyDescent="0.35">
      <c r="A91" s="29"/>
      <c r="B91" s="27"/>
      <c r="C91" s="31"/>
      <c r="D91" s="34" t="s">
        <v>194</v>
      </c>
      <c r="E91" s="31" t="s">
        <v>185</v>
      </c>
      <c r="F91" s="31">
        <v>0.2</v>
      </c>
      <c r="G91" s="33">
        <v>10270</v>
      </c>
      <c r="H91" s="33">
        <v>2054</v>
      </c>
      <c r="I91" s="153"/>
      <c r="J91" s="153"/>
      <c r="K91" s="153">
        <f t="shared" si="1"/>
        <v>0</v>
      </c>
      <c r="L91" s="33"/>
    </row>
    <row r="92" spans="1:14" s="307" customFormat="1" ht="18" hidden="1" x14ac:dyDescent="0.35">
      <c r="A92" s="29"/>
      <c r="B92" s="27"/>
      <c r="C92" s="31"/>
      <c r="D92" s="34" t="s">
        <v>210</v>
      </c>
      <c r="E92" s="31" t="s">
        <v>185</v>
      </c>
      <c r="F92" s="31">
        <v>0.2</v>
      </c>
      <c r="G92" s="33">
        <v>9304</v>
      </c>
      <c r="H92" s="33">
        <v>1860.8000000000002</v>
      </c>
      <c r="I92" s="153"/>
      <c r="J92" s="153"/>
      <c r="K92" s="153">
        <f t="shared" si="1"/>
        <v>0</v>
      </c>
      <c r="L92" s="33"/>
    </row>
    <row r="93" spans="1:14" s="307" customFormat="1" ht="23.25" hidden="1" customHeight="1" x14ac:dyDescent="0.35">
      <c r="A93" s="29"/>
      <c r="B93" s="27"/>
      <c r="C93" s="31"/>
      <c r="D93" s="34" t="s">
        <v>208</v>
      </c>
      <c r="E93" s="31" t="s">
        <v>185</v>
      </c>
      <c r="F93" s="31" t="s">
        <v>209</v>
      </c>
      <c r="G93" s="33">
        <v>0</v>
      </c>
      <c r="H93" s="33"/>
      <c r="I93" s="153"/>
      <c r="J93" s="153"/>
      <c r="K93" s="153">
        <f t="shared" si="1"/>
        <v>0</v>
      </c>
      <c r="L93" s="33"/>
    </row>
    <row r="94" spans="1:14" s="307" customFormat="1" ht="18" hidden="1" x14ac:dyDescent="0.35">
      <c r="A94" s="29"/>
      <c r="B94" s="27"/>
      <c r="C94" s="31"/>
      <c r="D94" s="34" t="s">
        <v>202</v>
      </c>
      <c r="E94" s="31" t="s">
        <v>192</v>
      </c>
      <c r="F94" s="31">
        <v>1</v>
      </c>
      <c r="G94" s="48">
        <v>31</v>
      </c>
      <c r="H94" s="33">
        <v>31</v>
      </c>
      <c r="I94" s="153"/>
      <c r="J94" s="153"/>
      <c r="K94" s="153">
        <f t="shared" si="1"/>
        <v>0</v>
      </c>
      <c r="L94" s="33"/>
    </row>
    <row r="95" spans="1:14" s="307" customFormat="1" ht="36" x14ac:dyDescent="0.35">
      <c r="A95" s="29" t="s">
        <v>82</v>
      </c>
      <c r="B95" s="30" t="s">
        <v>83</v>
      </c>
      <c r="C95" s="31" t="s">
        <v>51</v>
      </c>
      <c r="D95" s="34"/>
      <c r="E95" s="31"/>
      <c r="F95" s="31"/>
      <c r="G95" s="33"/>
      <c r="H95" s="33">
        <v>4924.5</v>
      </c>
      <c r="I95" s="153">
        <v>0.5</v>
      </c>
      <c r="J95" s="153">
        <v>4.25</v>
      </c>
      <c r="K95" s="153">
        <f t="shared" si="1"/>
        <v>4.75</v>
      </c>
      <c r="L95" s="33">
        <v>47500</v>
      </c>
      <c r="M95" s="33">
        <v>47500</v>
      </c>
    </row>
    <row r="96" spans="1:14" s="307" customFormat="1" ht="18" hidden="1" x14ac:dyDescent="0.35">
      <c r="A96" s="29"/>
      <c r="B96" s="27"/>
      <c r="C96" s="31"/>
      <c r="D96" s="34" t="s">
        <v>194</v>
      </c>
      <c r="E96" s="31" t="s">
        <v>185</v>
      </c>
      <c r="F96" s="31">
        <v>0.25</v>
      </c>
      <c r="G96" s="33">
        <v>10270</v>
      </c>
      <c r="H96" s="33">
        <v>2567.5</v>
      </c>
      <c r="I96" s="153"/>
      <c r="J96" s="153"/>
      <c r="K96" s="153">
        <f t="shared" si="1"/>
        <v>0</v>
      </c>
      <c r="L96" s="33"/>
    </row>
    <row r="97" spans="1:13" s="307" customFormat="1" ht="18" hidden="1" x14ac:dyDescent="0.35">
      <c r="A97" s="29"/>
      <c r="B97" s="27"/>
      <c r="C97" s="31"/>
      <c r="D97" s="34" t="s">
        <v>210</v>
      </c>
      <c r="E97" s="31" t="s">
        <v>185</v>
      </c>
      <c r="F97" s="31">
        <v>0.25</v>
      </c>
      <c r="G97" s="33">
        <v>9304</v>
      </c>
      <c r="H97" s="33">
        <v>2326</v>
      </c>
      <c r="I97" s="153"/>
      <c r="J97" s="153"/>
      <c r="K97" s="153">
        <f t="shared" si="1"/>
        <v>0</v>
      </c>
      <c r="L97" s="33"/>
    </row>
    <row r="98" spans="1:13" s="307" customFormat="1" ht="18" hidden="1" x14ac:dyDescent="0.35">
      <c r="A98" s="29"/>
      <c r="B98" s="27"/>
      <c r="C98" s="31"/>
      <c r="D98" s="34" t="s">
        <v>208</v>
      </c>
      <c r="E98" s="31" t="s">
        <v>185</v>
      </c>
      <c r="F98" s="31" t="s">
        <v>221</v>
      </c>
      <c r="G98" s="33">
        <v>0</v>
      </c>
      <c r="H98" s="33"/>
      <c r="I98" s="153"/>
      <c r="J98" s="153"/>
      <c r="K98" s="153">
        <f t="shared" si="1"/>
        <v>0</v>
      </c>
      <c r="L98" s="33"/>
    </row>
    <row r="99" spans="1:13" s="307" customFormat="1" ht="18" hidden="1" x14ac:dyDescent="0.35">
      <c r="A99" s="29"/>
      <c r="B99" s="27"/>
      <c r="C99" s="31"/>
      <c r="D99" s="34" t="s">
        <v>202</v>
      </c>
      <c r="E99" s="31" t="s">
        <v>192</v>
      </c>
      <c r="F99" s="31">
        <v>1</v>
      </c>
      <c r="G99" s="48">
        <v>31</v>
      </c>
      <c r="H99" s="33">
        <v>31</v>
      </c>
      <c r="I99" s="153"/>
      <c r="J99" s="153"/>
      <c r="K99" s="153">
        <f t="shared" si="1"/>
        <v>0</v>
      </c>
      <c r="L99" s="33"/>
    </row>
    <row r="100" spans="1:13" s="307" customFormat="1" ht="36" x14ac:dyDescent="0.35">
      <c r="A100" s="29" t="s">
        <v>84</v>
      </c>
      <c r="B100" s="30" t="s">
        <v>85</v>
      </c>
      <c r="C100" s="31" t="s">
        <v>51</v>
      </c>
      <c r="D100" s="34"/>
      <c r="E100" s="31"/>
      <c r="F100" s="31"/>
      <c r="G100" s="33"/>
      <c r="H100" s="33">
        <v>6555.0141999999996</v>
      </c>
      <c r="I100" s="153">
        <v>0.66</v>
      </c>
      <c r="J100" s="153">
        <v>6.37</v>
      </c>
      <c r="K100" s="153">
        <f t="shared" si="1"/>
        <v>7.03</v>
      </c>
      <c r="L100" s="33">
        <v>70300</v>
      </c>
      <c r="M100" s="33">
        <v>70300</v>
      </c>
    </row>
    <row r="101" spans="1:13" s="307" customFormat="1" ht="18" hidden="1" x14ac:dyDescent="0.35">
      <c r="A101" s="29"/>
      <c r="B101" s="27"/>
      <c r="C101" s="31"/>
      <c r="D101" s="34" t="s">
        <v>194</v>
      </c>
      <c r="E101" s="31" t="s">
        <v>185</v>
      </c>
      <c r="F101" s="31">
        <v>0.33329999999999999</v>
      </c>
      <c r="G101" s="33">
        <v>10270</v>
      </c>
      <c r="H101" s="33">
        <v>3422.991</v>
      </c>
      <c r="I101" s="153"/>
      <c r="J101" s="153"/>
      <c r="K101" s="153">
        <f t="shared" si="1"/>
        <v>0</v>
      </c>
      <c r="L101" s="33"/>
    </row>
    <row r="102" spans="1:13" s="307" customFormat="1" ht="18" hidden="1" x14ac:dyDescent="0.35">
      <c r="A102" s="29"/>
      <c r="B102" s="27"/>
      <c r="C102" s="31"/>
      <c r="D102" s="34" t="s">
        <v>210</v>
      </c>
      <c r="E102" s="31" t="s">
        <v>185</v>
      </c>
      <c r="F102" s="31">
        <v>0.33329999999999999</v>
      </c>
      <c r="G102" s="33">
        <v>9304</v>
      </c>
      <c r="H102" s="33">
        <v>3101.0232000000001</v>
      </c>
      <c r="I102" s="153"/>
      <c r="J102" s="153"/>
      <c r="K102" s="153">
        <f t="shared" si="1"/>
        <v>0</v>
      </c>
      <c r="L102" s="33"/>
    </row>
    <row r="103" spans="1:13" s="307" customFormat="1" ht="18" hidden="1" x14ac:dyDescent="0.35">
      <c r="A103" s="29"/>
      <c r="B103" s="27"/>
      <c r="C103" s="31"/>
      <c r="D103" s="34" t="s">
        <v>208</v>
      </c>
      <c r="E103" s="31" t="s">
        <v>185</v>
      </c>
      <c r="F103" s="31" t="s">
        <v>221</v>
      </c>
      <c r="G103" s="33">
        <v>0</v>
      </c>
      <c r="H103" s="33"/>
      <c r="I103" s="153"/>
      <c r="J103" s="153"/>
      <c r="K103" s="153">
        <f t="shared" si="1"/>
        <v>0</v>
      </c>
      <c r="L103" s="33"/>
    </row>
    <row r="104" spans="1:13" s="307" customFormat="1" ht="18" hidden="1" x14ac:dyDescent="0.35">
      <c r="A104" s="29"/>
      <c r="B104" s="27"/>
      <c r="C104" s="31"/>
      <c r="D104" s="34" t="s">
        <v>202</v>
      </c>
      <c r="E104" s="31" t="s">
        <v>192</v>
      </c>
      <c r="F104" s="31">
        <v>1</v>
      </c>
      <c r="G104" s="48">
        <v>31</v>
      </c>
      <c r="H104" s="33">
        <v>31</v>
      </c>
      <c r="I104" s="153"/>
      <c r="J104" s="153"/>
      <c r="K104" s="153">
        <f t="shared" si="1"/>
        <v>0</v>
      </c>
      <c r="L104" s="33"/>
    </row>
    <row r="105" spans="1:13" s="307" customFormat="1" ht="36" x14ac:dyDescent="0.35">
      <c r="A105" s="29" t="s">
        <v>86</v>
      </c>
      <c r="B105" s="30" t="s">
        <v>87</v>
      </c>
      <c r="C105" s="31" t="s">
        <v>51</v>
      </c>
      <c r="D105" s="34"/>
      <c r="E105" s="31"/>
      <c r="F105" s="31"/>
      <c r="G105" s="33"/>
      <c r="H105" s="33">
        <v>9818</v>
      </c>
      <c r="I105" s="153">
        <v>0.98</v>
      </c>
      <c r="J105" s="153">
        <v>8.14</v>
      </c>
      <c r="K105" s="153">
        <f t="shared" si="1"/>
        <v>9.120000000000001</v>
      </c>
      <c r="L105" s="33">
        <v>91200</v>
      </c>
      <c r="M105" s="33">
        <v>91200</v>
      </c>
    </row>
    <row r="106" spans="1:13" s="307" customFormat="1" ht="18" hidden="1" x14ac:dyDescent="0.35">
      <c r="A106" s="29"/>
      <c r="B106" s="27"/>
      <c r="C106" s="31"/>
      <c r="D106" s="34" t="s">
        <v>194</v>
      </c>
      <c r="E106" s="31" t="s">
        <v>185</v>
      </c>
      <c r="F106" s="31">
        <v>0.5</v>
      </c>
      <c r="G106" s="33">
        <v>10270</v>
      </c>
      <c r="H106" s="33">
        <v>5135</v>
      </c>
      <c r="I106" s="153"/>
      <c r="J106" s="153"/>
      <c r="K106" s="153">
        <f t="shared" si="1"/>
        <v>0</v>
      </c>
      <c r="L106" s="33"/>
    </row>
    <row r="107" spans="1:13" s="307" customFormat="1" ht="18" hidden="1" x14ac:dyDescent="0.35">
      <c r="A107" s="29"/>
      <c r="B107" s="27"/>
      <c r="C107" s="31"/>
      <c r="D107" s="34" t="s">
        <v>210</v>
      </c>
      <c r="E107" s="31" t="s">
        <v>185</v>
      </c>
      <c r="F107" s="31">
        <v>0.5</v>
      </c>
      <c r="G107" s="33">
        <v>9304</v>
      </c>
      <c r="H107" s="33">
        <v>4652</v>
      </c>
      <c r="I107" s="153"/>
      <c r="J107" s="153"/>
      <c r="K107" s="153">
        <f t="shared" si="1"/>
        <v>0</v>
      </c>
      <c r="L107" s="33"/>
    </row>
    <row r="108" spans="1:13" s="307" customFormat="1" ht="18" hidden="1" x14ac:dyDescent="0.35">
      <c r="A108" s="29"/>
      <c r="B108" s="27"/>
      <c r="C108" s="31"/>
      <c r="D108" s="34" t="s">
        <v>208</v>
      </c>
      <c r="E108" s="31" t="s">
        <v>185</v>
      </c>
      <c r="F108" s="31" t="s">
        <v>222</v>
      </c>
      <c r="G108" s="33">
        <v>0</v>
      </c>
      <c r="H108" s="33"/>
      <c r="I108" s="153"/>
      <c r="J108" s="153"/>
      <c r="K108" s="153">
        <f t="shared" si="1"/>
        <v>0</v>
      </c>
      <c r="L108" s="33"/>
    </row>
    <row r="109" spans="1:13" s="307" customFormat="1" ht="18" hidden="1" x14ac:dyDescent="0.35">
      <c r="A109" s="29"/>
      <c r="B109" s="27"/>
      <c r="C109" s="31"/>
      <c r="D109" s="34" t="s">
        <v>202</v>
      </c>
      <c r="E109" s="31" t="s">
        <v>192</v>
      </c>
      <c r="F109" s="31">
        <v>1</v>
      </c>
      <c r="G109" s="48">
        <v>31</v>
      </c>
      <c r="H109" s="33">
        <v>31</v>
      </c>
      <c r="I109" s="153"/>
      <c r="J109" s="153"/>
      <c r="K109" s="153">
        <f t="shared" si="1"/>
        <v>0</v>
      </c>
      <c r="L109" s="33"/>
    </row>
    <row r="110" spans="1:13" s="307" customFormat="1" ht="36" hidden="1" x14ac:dyDescent="0.35">
      <c r="A110" s="29" t="s">
        <v>78</v>
      </c>
      <c r="B110" s="30" t="s">
        <v>88</v>
      </c>
      <c r="C110" s="56" t="s">
        <v>89</v>
      </c>
      <c r="D110" s="57" t="s">
        <v>223</v>
      </c>
      <c r="E110" s="31"/>
      <c r="F110" s="31"/>
      <c r="G110" s="33"/>
      <c r="H110" s="58">
        <v>21.548750000000002</v>
      </c>
      <c r="I110" s="153"/>
      <c r="J110" s="153">
        <v>2.83</v>
      </c>
      <c r="K110" s="153">
        <f t="shared" si="1"/>
        <v>2.83</v>
      </c>
      <c r="L110" s="33">
        <v>28300</v>
      </c>
      <c r="M110" s="33">
        <v>28300</v>
      </c>
    </row>
    <row r="111" spans="1:13" s="307" customFormat="1" ht="18" hidden="1" x14ac:dyDescent="0.35">
      <c r="A111" s="29"/>
      <c r="B111" s="27"/>
      <c r="C111" s="31"/>
      <c r="D111" s="34" t="s">
        <v>224</v>
      </c>
      <c r="E111" s="31" t="s">
        <v>201</v>
      </c>
      <c r="F111" s="31">
        <v>0.3</v>
      </c>
      <c r="G111" s="33">
        <v>69.462500000000006</v>
      </c>
      <c r="H111" s="33">
        <v>20.838750000000001</v>
      </c>
      <c r="I111" s="153"/>
      <c r="J111" s="153"/>
      <c r="K111" s="153">
        <f t="shared" si="1"/>
        <v>0</v>
      </c>
      <c r="L111" s="33"/>
    </row>
    <row r="112" spans="1:13" s="307" customFormat="1" ht="31.8" hidden="1" x14ac:dyDescent="0.35">
      <c r="A112" s="29"/>
      <c r="B112" s="27"/>
      <c r="C112" s="31"/>
      <c r="D112" s="34" t="s">
        <v>225</v>
      </c>
      <c r="E112" s="31" t="s">
        <v>185</v>
      </c>
      <c r="F112" s="31">
        <v>1E-3</v>
      </c>
      <c r="G112" s="33">
        <v>710</v>
      </c>
      <c r="H112" s="320">
        <v>0.71</v>
      </c>
      <c r="I112" s="321"/>
      <c r="J112" s="153"/>
      <c r="K112" s="153">
        <f t="shared" si="1"/>
        <v>0</v>
      </c>
      <c r="L112" s="33"/>
    </row>
    <row r="113" spans="1:14" s="307" customFormat="1" ht="48.6" customHeight="1" x14ac:dyDescent="0.35">
      <c r="A113" s="445" t="s">
        <v>78</v>
      </c>
      <c r="B113" s="448" t="s">
        <v>91</v>
      </c>
      <c r="C113" s="56" t="s">
        <v>230</v>
      </c>
      <c r="D113" s="57" t="s">
        <v>226</v>
      </c>
      <c r="E113" s="31"/>
      <c r="F113" s="31"/>
      <c r="G113" s="33"/>
      <c r="H113" s="33">
        <v>1846.9399999999998</v>
      </c>
      <c r="I113" s="153">
        <v>0.15</v>
      </c>
      <c r="J113" s="153">
        <v>3.54</v>
      </c>
      <c r="K113" s="153">
        <f>I113+J113</f>
        <v>3.69</v>
      </c>
      <c r="L113" s="33">
        <v>37300</v>
      </c>
      <c r="M113" s="33">
        <v>36900</v>
      </c>
    </row>
    <row r="114" spans="1:14" s="307" customFormat="1" ht="36" customHeight="1" x14ac:dyDescent="0.35">
      <c r="A114" s="446"/>
      <c r="B114" s="449"/>
      <c r="C114" s="300" t="s">
        <v>446</v>
      </c>
      <c r="D114" s="34" t="s">
        <v>227</v>
      </c>
      <c r="E114" s="31" t="s">
        <v>201</v>
      </c>
      <c r="F114" s="31">
        <v>0.3</v>
      </c>
      <c r="G114" s="33">
        <v>6156.4666666666662</v>
      </c>
      <c r="H114" s="33">
        <v>1846.9399999999998</v>
      </c>
      <c r="I114" s="153">
        <v>0.96</v>
      </c>
      <c r="J114" s="153">
        <v>3.54</v>
      </c>
      <c r="K114" s="153">
        <f t="shared" si="1"/>
        <v>4.5</v>
      </c>
      <c r="L114" s="33"/>
    </row>
    <row r="115" spans="1:14" s="307" customFormat="1" ht="31.8" x14ac:dyDescent="0.35">
      <c r="A115" s="446"/>
      <c r="B115" s="449"/>
      <c r="C115" s="59" t="s">
        <v>228</v>
      </c>
      <c r="D115" s="60" t="s">
        <v>229</v>
      </c>
      <c r="E115" s="38"/>
      <c r="F115" s="38"/>
      <c r="G115" s="61"/>
      <c r="H115" s="33">
        <v>8061.5519999999997</v>
      </c>
      <c r="I115" s="153">
        <v>0.81</v>
      </c>
      <c r="J115" s="153">
        <v>3.54</v>
      </c>
      <c r="K115" s="153">
        <f t="shared" si="1"/>
        <v>4.3499999999999996</v>
      </c>
      <c r="L115" s="33">
        <v>43500</v>
      </c>
      <c r="M115" s="33">
        <v>43500</v>
      </c>
    </row>
    <row r="116" spans="1:14" s="307" customFormat="1" ht="35.4" x14ac:dyDescent="0.35">
      <c r="A116" s="447"/>
      <c r="B116" s="450"/>
      <c r="C116" s="300" t="s">
        <v>447</v>
      </c>
      <c r="D116" s="39" t="s">
        <v>227</v>
      </c>
      <c r="E116" s="38" t="s">
        <v>201</v>
      </c>
      <c r="F116" s="38">
        <v>0.3</v>
      </c>
      <c r="G116" s="35">
        <v>26871.84</v>
      </c>
      <c r="H116" s="33">
        <v>8061.5519999999997</v>
      </c>
      <c r="I116" s="153">
        <v>0.4</v>
      </c>
      <c r="J116" s="153">
        <v>3.54</v>
      </c>
      <c r="K116" s="153">
        <f t="shared" si="1"/>
        <v>3.94</v>
      </c>
      <c r="L116" s="33"/>
    </row>
    <row r="117" spans="1:14" s="307" customFormat="1" ht="38.25" hidden="1" customHeight="1" x14ac:dyDescent="0.35">
      <c r="A117" s="40"/>
      <c r="B117" s="45"/>
      <c r="C117" s="53" t="s">
        <v>230</v>
      </c>
      <c r="D117" s="54" t="s">
        <v>231</v>
      </c>
      <c r="E117" s="42"/>
      <c r="F117" s="42"/>
      <c r="G117" s="44"/>
      <c r="H117" s="44">
        <v>639.19999999999993</v>
      </c>
      <c r="I117" s="44">
        <v>650</v>
      </c>
      <c r="J117" s="44">
        <v>35400</v>
      </c>
      <c r="K117" s="153">
        <f t="shared" si="1"/>
        <v>36050</v>
      </c>
      <c r="L117" s="33"/>
    </row>
    <row r="118" spans="1:14" s="307" customFormat="1" ht="38.25" hidden="1" customHeight="1" x14ac:dyDescent="0.35">
      <c r="A118" s="40"/>
      <c r="B118" s="45"/>
      <c r="C118" s="42"/>
      <c r="D118" s="43" t="s">
        <v>227</v>
      </c>
      <c r="E118" s="42" t="s">
        <v>201</v>
      </c>
      <c r="F118" s="42">
        <v>0.3</v>
      </c>
      <c r="G118" s="44">
        <v>2130.6666666666665</v>
      </c>
      <c r="H118" s="44">
        <v>639.19999999999993</v>
      </c>
      <c r="I118" s="44"/>
      <c r="J118" s="44"/>
      <c r="K118" s="153">
        <f t="shared" si="1"/>
        <v>0</v>
      </c>
      <c r="L118" s="33"/>
    </row>
    <row r="119" spans="1:14" s="307" customFormat="1" ht="36" hidden="1" x14ac:dyDescent="0.35">
      <c r="A119" s="40" t="s">
        <v>232</v>
      </c>
      <c r="B119" s="41" t="s">
        <v>233</v>
      </c>
      <c r="C119" s="53" t="s">
        <v>234</v>
      </c>
      <c r="D119" s="54" t="s">
        <v>235</v>
      </c>
      <c r="E119" s="42"/>
      <c r="F119" s="42"/>
      <c r="G119" s="44"/>
      <c r="H119" s="44">
        <v>227.3125</v>
      </c>
      <c r="I119" s="44">
        <v>250</v>
      </c>
      <c r="J119" s="44">
        <v>28300</v>
      </c>
      <c r="K119" s="153">
        <f t="shared" si="1"/>
        <v>28550</v>
      </c>
      <c r="L119" s="33">
        <v>2140</v>
      </c>
    </row>
    <row r="120" spans="1:14" s="307" customFormat="1" ht="47.4" hidden="1" x14ac:dyDescent="0.35">
      <c r="A120" s="40"/>
      <c r="B120" s="322"/>
      <c r="C120" s="323"/>
      <c r="D120" s="324" t="s">
        <v>236</v>
      </c>
      <c r="E120" s="323" t="s">
        <v>201</v>
      </c>
      <c r="F120" s="323">
        <v>0.1</v>
      </c>
      <c r="G120" s="325">
        <v>2273.125</v>
      </c>
      <c r="H120" s="325">
        <v>227.3125</v>
      </c>
      <c r="I120" s="325"/>
      <c r="J120" s="325"/>
      <c r="K120" s="313">
        <f t="shared" si="1"/>
        <v>0</v>
      </c>
      <c r="L120" s="312"/>
    </row>
    <row r="121" spans="1:14" s="55" customFormat="1" ht="18" customHeight="1" x14ac:dyDescent="0.25">
      <c r="A121" s="29" t="s">
        <v>90</v>
      </c>
      <c r="B121" s="451" t="s">
        <v>93</v>
      </c>
      <c r="C121" s="452"/>
      <c r="D121" s="452"/>
      <c r="E121" s="452"/>
      <c r="F121" s="452"/>
      <c r="G121" s="452"/>
      <c r="H121" s="452"/>
      <c r="I121" s="452"/>
      <c r="J121" s="452"/>
      <c r="K121" s="452"/>
      <c r="L121" s="452"/>
      <c r="M121" s="453"/>
      <c r="N121" s="307"/>
    </row>
    <row r="122" spans="1:14" s="307" customFormat="1" ht="36" x14ac:dyDescent="0.35">
      <c r="A122" s="29" t="s">
        <v>448</v>
      </c>
      <c r="B122" s="30" t="s">
        <v>95</v>
      </c>
      <c r="C122" s="31" t="s">
        <v>51</v>
      </c>
      <c r="D122" s="32"/>
      <c r="E122" s="31"/>
      <c r="F122" s="31"/>
      <c r="G122" s="33"/>
      <c r="H122" s="33">
        <v>4924.5</v>
      </c>
      <c r="I122" s="153">
        <v>0.49</v>
      </c>
      <c r="J122" s="153">
        <v>4.25</v>
      </c>
      <c r="K122" s="153">
        <f t="shared" si="1"/>
        <v>4.74</v>
      </c>
      <c r="L122" s="33">
        <v>47400</v>
      </c>
      <c r="M122" s="33">
        <v>47400</v>
      </c>
    </row>
    <row r="123" spans="1:14" s="307" customFormat="1" ht="18" hidden="1" x14ac:dyDescent="0.35">
      <c r="A123" s="29"/>
      <c r="B123" s="27"/>
      <c r="C123" s="31"/>
      <c r="D123" s="34" t="s">
        <v>194</v>
      </c>
      <c r="E123" s="31" t="s">
        <v>185</v>
      </c>
      <c r="F123" s="31">
        <v>0.25</v>
      </c>
      <c r="G123" s="33">
        <v>10270</v>
      </c>
      <c r="H123" s="33">
        <v>2567.5</v>
      </c>
      <c r="I123" s="153"/>
      <c r="J123" s="153"/>
      <c r="K123" s="153">
        <f t="shared" si="1"/>
        <v>0</v>
      </c>
      <c r="L123" s="33"/>
    </row>
    <row r="124" spans="1:14" s="307" customFormat="1" ht="18" hidden="1" x14ac:dyDescent="0.35">
      <c r="A124" s="29"/>
      <c r="B124" s="27"/>
      <c r="C124" s="31"/>
      <c r="D124" s="34" t="s">
        <v>210</v>
      </c>
      <c r="E124" s="31" t="s">
        <v>185</v>
      </c>
      <c r="F124" s="31">
        <v>0.25</v>
      </c>
      <c r="G124" s="33">
        <v>9304</v>
      </c>
      <c r="H124" s="33">
        <v>2326</v>
      </c>
      <c r="I124" s="153"/>
      <c r="J124" s="153"/>
      <c r="K124" s="153">
        <f t="shared" si="1"/>
        <v>0</v>
      </c>
      <c r="L124" s="33"/>
    </row>
    <row r="125" spans="1:14" s="307" customFormat="1" ht="18" hidden="1" x14ac:dyDescent="0.35">
      <c r="A125" s="29"/>
      <c r="B125" s="27"/>
      <c r="C125" s="31"/>
      <c r="D125" s="34" t="s">
        <v>208</v>
      </c>
      <c r="E125" s="31" t="s">
        <v>185</v>
      </c>
      <c r="F125" s="31">
        <v>0.25</v>
      </c>
      <c r="G125" s="33">
        <v>0</v>
      </c>
      <c r="H125" s="33"/>
      <c r="I125" s="153"/>
      <c r="J125" s="153"/>
      <c r="K125" s="153">
        <f t="shared" si="1"/>
        <v>0</v>
      </c>
      <c r="L125" s="33"/>
    </row>
    <row r="126" spans="1:14" s="307" customFormat="1" ht="18" hidden="1" x14ac:dyDescent="0.35">
      <c r="A126" s="29"/>
      <c r="B126" s="27"/>
      <c r="C126" s="31"/>
      <c r="D126" s="34" t="s">
        <v>202</v>
      </c>
      <c r="E126" s="31" t="s">
        <v>192</v>
      </c>
      <c r="F126" s="31">
        <v>1</v>
      </c>
      <c r="G126" s="48">
        <v>31</v>
      </c>
      <c r="H126" s="33">
        <v>31</v>
      </c>
      <c r="I126" s="153"/>
      <c r="J126" s="153"/>
      <c r="K126" s="153">
        <f t="shared" si="1"/>
        <v>0</v>
      </c>
      <c r="L126" s="33"/>
    </row>
    <row r="127" spans="1:14" s="307" customFormat="1" ht="36" x14ac:dyDescent="0.35">
      <c r="A127" s="29" t="s">
        <v>449</v>
      </c>
      <c r="B127" s="30" t="s">
        <v>97</v>
      </c>
      <c r="C127" s="31" t="s">
        <v>51</v>
      </c>
      <c r="D127" s="34"/>
      <c r="E127" s="31"/>
      <c r="F127" s="31"/>
      <c r="G127" s="33"/>
      <c r="H127" s="33">
        <v>9818</v>
      </c>
      <c r="I127" s="153">
        <v>0.98</v>
      </c>
      <c r="J127" s="153">
        <v>6.37</v>
      </c>
      <c r="K127" s="153">
        <f t="shared" si="1"/>
        <v>7.35</v>
      </c>
      <c r="L127" s="33">
        <v>73500</v>
      </c>
      <c r="M127" s="33">
        <v>73500</v>
      </c>
    </row>
    <row r="128" spans="1:14" s="307" customFormat="1" ht="18" hidden="1" x14ac:dyDescent="0.35">
      <c r="A128" s="29"/>
      <c r="B128" s="27"/>
      <c r="C128" s="31"/>
      <c r="D128" s="34" t="s">
        <v>194</v>
      </c>
      <c r="E128" s="31" t="s">
        <v>185</v>
      </c>
      <c r="F128" s="31">
        <v>0.5</v>
      </c>
      <c r="G128" s="33">
        <v>10270</v>
      </c>
      <c r="H128" s="33">
        <v>5135</v>
      </c>
      <c r="I128" s="153"/>
      <c r="J128" s="153"/>
      <c r="K128" s="153">
        <f t="shared" si="1"/>
        <v>0</v>
      </c>
      <c r="L128" s="33"/>
    </row>
    <row r="129" spans="1:13" s="307" customFormat="1" ht="18" hidden="1" x14ac:dyDescent="0.35">
      <c r="A129" s="29"/>
      <c r="B129" s="27"/>
      <c r="C129" s="31"/>
      <c r="D129" s="34" t="s">
        <v>210</v>
      </c>
      <c r="E129" s="31" t="s">
        <v>185</v>
      </c>
      <c r="F129" s="31">
        <v>0.5</v>
      </c>
      <c r="G129" s="33">
        <v>9304</v>
      </c>
      <c r="H129" s="33">
        <v>4652</v>
      </c>
      <c r="I129" s="153"/>
      <c r="J129" s="153"/>
      <c r="K129" s="153">
        <f t="shared" si="1"/>
        <v>0</v>
      </c>
      <c r="L129" s="33"/>
    </row>
    <row r="130" spans="1:13" s="307" customFormat="1" ht="18" hidden="1" x14ac:dyDescent="0.35">
      <c r="A130" s="29"/>
      <c r="B130" s="27"/>
      <c r="C130" s="31"/>
      <c r="D130" s="34" t="s">
        <v>208</v>
      </c>
      <c r="E130" s="31" t="s">
        <v>185</v>
      </c>
      <c r="F130" s="31" t="s">
        <v>222</v>
      </c>
      <c r="G130" s="33">
        <v>0</v>
      </c>
      <c r="H130" s="33"/>
      <c r="I130" s="153"/>
      <c r="J130" s="153"/>
      <c r="K130" s="153">
        <f t="shared" si="1"/>
        <v>0</v>
      </c>
      <c r="L130" s="33"/>
    </row>
    <row r="131" spans="1:13" s="307" customFormat="1" ht="18" hidden="1" x14ac:dyDescent="0.35">
      <c r="A131" s="29"/>
      <c r="B131" s="27"/>
      <c r="C131" s="31"/>
      <c r="D131" s="34" t="s">
        <v>202</v>
      </c>
      <c r="E131" s="31" t="s">
        <v>192</v>
      </c>
      <c r="F131" s="31">
        <v>1</v>
      </c>
      <c r="G131" s="48">
        <v>31</v>
      </c>
      <c r="H131" s="33">
        <v>31</v>
      </c>
      <c r="I131" s="153"/>
      <c r="J131" s="153"/>
      <c r="K131" s="153">
        <f t="shared" si="1"/>
        <v>0</v>
      </c>
      <c r="L131" s="33"/>
    </row>
    <row r="132" spans="1:13" s="307" customFormat="1" ht="18" x14ac:dyDescent="0.35">
      <c r="A132" s="29" t="s">
        <v>450</v>
      </c>
      <c r="B132" s="30" t="s">
        <v>99</v>
      </c>
      <c r="C132" s="31" t="s">
        <v>51</v>
      </c>
      <c r="D132" s="34"/>
      <c r="E132" s="31"/>
      <c r="F132" s="31"/>
      <c r="G132" s="33"/>
      <c r="H132" s="33">
        <v>259.33333333333337</v>
      </c>
      <c r="I132" s="153">
        <v>0.03</v>
      </c>
      <c r="J132" s="153">
        <v>1.42</v>
      </c>
      <c r="K132" s="153">
        <f t="shared" si="1"/>
        <v>1.45</v>
      </c>
      <c r="L132" s="33">
        <v>14500</v>
      </c>
      <c r="M132" s="33">
        <v>14500</v>
      </c>
    </row>
    <row r="133" spans="1:13" s="307" customFormat="1" ht="18" hidden="1" x14ac:dyDescent="0.35">
      <c r="A133" s="29"/>
      <c r="B133" s="27"/>
      <c r="C133" s="31"/>
      <c r="D133" s="34" t="s">
        <v>237</v>
      </c>
      <c r="E133" s="31" t="s">
        <v>201</v>
      </c>
      <c r="F133" s="31">
        <v>0.1</v>
      </c>
      <c r="G133" s="33">
        <v>2593.3333333333335</v>
      </c>
      <c r="H133" s="33">
        <v>259.33333333333337</v>
      </c>
      <c r="I133" s="153"/>
      <c r="J133" s="153"/>
      <c r="K133" s="153">
        <f t="shared" si="1"/>
        <v>0</v>
      </c>
      <c r="L133" s="33"/>
    </row>
    <row r="134" spans="1:13" s="307" customFormat="1" ht="18" x14ac:dyDescent="0.35">
      <c r="A134" s="29" t="s">
        <v>451</v>
      </c>
      <c r="B134" s="30" t="s">
        <v>101</v>
      </c>
      <c r="C134" s="31" t="s">
        <v>51</v>
      </c>
      <c r="D134" s="34"/>
      <c r="E134" s="31"/>
      <c r="F134" s="31"/>
      <c r="G134" s="33"/>
      <c r="H134" s="33">
        <v>31</v>
      </c>
      <c r="I134" s="153"/>
      <c r="J134" s="153">
        <v>1.06</v>
      </c>
      <c r="K134" s="153">
        <f t="shared" si="1"/>
        <v>1.06</v>
      </c>
      <c r="L134" s="33">
        <v>10600</v>
      </c>
      <c r="M134" s="33">
        <v>10600</v>
      </c>
    </row>
    <row r="135" spans="1:13" s="307" customFormat="1" ht="18" hidden="1" x14ac:dyDescent="0.35">
      <c r="A135" s="29"/>
      <c r="B135" s="27"/>
      <c r="C135" s="31" t="s">
        <v>51</v>
      </c>
      <c r="D135" s="34" t="s">
        <v>202</v>
      </c>
      <c r="E135" s="31" t="s">
        <v>192</v>
      </c>
      <c r="F135" s="31">
        <v>1</v>
      </c>
      <c r="G135" s="48">
        <v>31</v>
      </c>
      <c r="H135" s="33">
        <v>31</v>
      </c>
      <c r="I135" s="153"/>
      <c r="J135" s="153"/>
      <c r="K135" s="153">
        <f t="shared" si="1"/>
        <v>0</v>
      </c>
      <c r="L135" s="33"/>
    </row>
    <row r="136" spans="1:13" s="307" customFormat="1" ht="36" x14ac:dyDescent="0.35">
      <c r="A136" s="29" t="s">
        <v>452</v>
      </c>
      <c r="B136" s="62" t="s">
        <v>103</v>
      </c>
      <c r="C136" s="31" t="s">
        <v>51</v>
      </c>
      <c r="D136" s="34"/>
      <c r="E136" s="31"/>
      <c r="F136" s="31"/>
      <c r="G136" s="33"/>
      <c r="H136" s="33">
        <v>12183.266666666666</v>
      </c>
      <c r="I136" s="153">
        <v>1.22</v>
      </c>
      <c r="J136" s="153">
        <v>3.54</v>
      </c>
      <c r="K136" s="153">
        <f t="shared" si="1"/>
        <v>4.76</v>
      </c>
      <c r="L136" s="33">
        <v>47600</v>
      </c>
      <c r="M136" s="33">
        <v>47600</v>
      </c>
    </row>
    <row r="137" spans="1:13" s="307" customFormat="1" ht="63" hidden="1" x14ac:dyDescent="0.35">
      <c r="A137" s="29"/>
      <c r="B137" s="62"/>
      <c r="C137" s="31" t="s">
        <v>51</v>
      </c>
      <c r="D137" s="34" t="s">
        <v>238</v>
      </c>
      <c r="E137" s="31" t="s">
        <v>185</v>
      </c>
      <c r="F137" s="31">
        <v>0.4</v>
      </c>
      <c r="G137" s="33">
        <v>6911.833333333333</v>
      </c>
      <c r="H137" s="33">
        <v>2764.7333333333336</v>
      </c>
      <c r="I137" s="153"/>
      <c r="J137" s="153"/>
      <c r="K137" s="153">
        <f t="shared" si="1"/>
        <v>0</v>
      </c>
      <c r="L137" s="33"/>
    </row>
    <row r="138" spans="1:13" s="307" customFormat="1" ht="63" hidden="1" x14ac:dyDescent="0.35">
      <c r="A138" s="29"/>
      <c r="B138" s="62"/>
      <c r="C138" s="31" t="s">
        <v>51</v>
      </c>
      <c r="D138" s="34" t="s">
        <v>239</v>
      </c>
      <c r="E138" s="31" t="s">
        <v>185</v>
      </c>
      <c r="F138" s="31">
        <v>1.2</v>
      </c>
      <c r="G138" s="33">
        <v>6911.833333333333</v>
      </c>
      <c r="H138" s="33">
        <v>8294.1999999999989</v>
      </c>
      <c r="I138" s="153"/>
      <c r="J138" s="153"/>
      <c r="K138" s="153">
        <f t="shared" si="1"/>
        <v>0</v>
      </c>
      <c r="L138" s="33"/>
    </row>
    <row r="139" spans="1:13" s="307" customFormat="1" ht="31.8" hidden="1" x14ac:dyDescent="0.35">
      <c r="A139" s="29"/>
      <c r="B139" s="62"/>
      <c r="C139" s="31" t="s">
        <v>51</v>
      </c>
      <c r="D139" s="34" t="s">
        <v>240</v>
      </c>
      <c r="E139" s="31" t="s">
        <v>185</v>
      </c>
      <c r="F139" s="31">
        <v>0.2</v>
      </c>
      <c r="G139" s="33">
        <v>5466.666666666667</v>
      </c>
      <c r="H139" s="33">
        <v>1093.3333333333335</v>
      </c>
      <c r="I139" s="153"/>
      <c r="J139" s="153"/>
      <c r="K139" s="153">
        <f t="shared" si="1"/>
        <v>0</v>
      </c>
      <c r="L139" s="33"/>
    </row>
    <row r="140" spans="1:13" s="307" customFormat="1" ht="18" hidden="1" x14ac:dyDescent="0.35">
      <c r="A140" s="29"/>
      <c r="B140" s="62"/>
      <c r="C140" s="31" t="s">
        <v>51</v>
      </c>
      <c r="D140" s="34" t="s">
        <v>202</v>
      </c>
      <c r="E140" s="31" t="s">
        <v>213</v>
      </c>
      <c r="F140" s="31">
        <v>1</v>
      </c>
      <c r="G140" s="48">
        <v>31</v>
      </c>
      <c r="H140" s="33">
        <v>31</v>
      </c>
      <c r="I140" s="153"/>
      <c r="J140" s="153"/>
      <c r="K140" s="153">
        <f t="shared" si="1"/>
        <v>0</v>
      </c>
      <c r="L140" s="33"/>
    </row>
    <row r="141" spans="1:13" s="307" customFormat="1" ht="36" hidden="1" x14ac:dyDescent="0.35">
      <c r="A141" s="40" t="s">
        <v>241</v>
      </c>
      <c r="B141" s="63" t="s">
        <v>242</v>
      </c>
      <c r="C141" s="42" t="s">
        <v>51</v>
      </c>
      <c r="D141" s="43"/>
      <c r="E141" s="42"/>
      <c r="F141" s="42"/>
      <c r="G141" s="44"/>
      <c r="H141" s="44">
        <v>17370.300000000003</v>
      </c>
      <c r="I141" s="154">
        <v>17350</v>
      </c>
      <c r="J141" s="154">
        <v>77800</v>
      </c>
      <c r="K141" s="153">
        <f t="shared" si="1"/>
        <v>95150</v>
      </c>
      <c r="L141" s="33"/>
    </row>
    <row r="142" spans="1:13" s="307" customFormat="1" ht="63" hidden="1" x14ac:dyDescent="0.35">
      <c r="A142" s="40"/>
      <c r="B142" s="63"/>
      <c r="C142" s="42" t="s">
        <v>51</v>
      </c>
      <c r="D142" s="43" t="s">
        <v>238</v>
      </c>
      <c r="E142" s="42" t="s">
        <v>185</v>
      </c>
      <c r="F142" s="42">
        <v>0.8</v>
      </c>
      <c r="G142" s="44">
        <v>6911.833333333333</v>
      </c>
      <c r="H142" s="44">
        <v>5529.4666666666672</v>
      </c>
      <c r="I142" s="154"/>
      <c r="J142" s="154"/>
      <c r="K142" s="153">
        <f t="shared" si="1"/>
        <v>0</v>
      </c>
      <c r="L142" s="33"/>
    </row>
    <row r="143" spans="1:13" s="307" customFormat="1" ht="63" hidden="1" x14ac:dyDescent="0.35">
      <c r="A143" s="40"/>
      <c r="B143" s="63"/>
      <c r="C143" s="42" t="s">
        <v>51</v>
      </c>
      <c r="D143" s="43" t="s">
        <v>239</v>
      </c>
      <c r="E143" s="42" t="s">
        <v>185</v>
      </c>
      <c r="F143" s="42">
        <v>1.6</v>
      </c>
      <c r="G143" s="44">
        <v>6911.833333333333</v>
      </c>
      <c r="H143" s="44">
        <v>11058.933333333334</v>
      </c>
      <c r="I143" s="154"/>
      <c r="J143" s="154"/>
      <c r="K143" s="153">
        <f t="shared" si="1"/>
        <v>0</v>
      </c>
      <c r="L143" s="33"/>
    </row>
    <row r="144" spans="1:13" s="307" customFormat="1" ht="31.8" hidden="1" x14ac:dyDescent="0.35">
      <c r="A144" s="40"/>
      <c r="B144" s="63"/>
      <c r="C144" s="42" t="s">
        <v>51</v>
      </c>
      <c r="D144" s="43" t="s">
        <v>240</v>
      </c>
      <c r="E144" s="42" t="s">
        <v>185</v>
      </c>
      <c r="F144" s="42">
        <v>0.2</v>
      </c>
      <c r="G144" s="44">
        <v>3754.5</v>
      </c>
      <c r="H144" s="44">
        <v>750.90000000000009</v>
      </c>
      <c r="I144" s="154"/>
      <c r="J144" s="154"/>
      <c r="K144" s="153">
        <f t="shared" si="1"/>
        <v>0</v>
      </c>
      <c r="L144" s="33"/>
    </row>
    <row r="145" spans="1:13" s="307" customFormat="1" ht="18" hidden="1" x14ac:dyDescent="0.35">
      <c r="A145" s="40"/>
      <c r="B145" s="63"/>
      <c r="C145" s="42" t="s">
        <v>51</v>
      </c>
      <c r="D145" s="43" t="s">
        <v>202</v>
      </c>
      <c r="E145" s="42" t="s">
        <v>213</v>
      </c>
      <c r="F145" s="42">
        <v>1</v>
      </c>
      <c r="G145" s="44">
        <v>31</v>
      </c>
      <c r="H145" s="44">
        <v>31</v>
      </c>
      <c r="I145" s="154"/>
      <c r="J145" s="154"/>
      <c r="K145" s="153">
        <f t="shared" si="1"/>
        <v>0</v>
      </c>
      <c r="L145" s="33"/>
    </row>
    <row r="146" spans="1:13" s="307" customFormat="1" ht="28.5" hidden="1" customHeight="1" x14ac:dyDescent="0.35">
      <c r="A146" s="40" t="s">
        <v>243</v>
      </c>
      <c r="B146" s="63" t="s">
        <v>244</v>
      </c>
      <c r="C146" s="42" t="s">
        <v>51</v>
      </c>
      <c r="D146" s="43"/>
      <c r="E146" s="42"/>
      <c r="F146" s="42"/>
      <c r="G146" s="44"/>
      <c r="H146" s="44">
        <v>13</v>
      </c>
      <c r="I146" s="154"/>
      <c r="J146" s="154">
        <v>17700</v>
      </c>
      <c r="K146" s="153">
        <f t="shared" si="1"/>
        <v>17700</v>
      </c>
      <c r="L146" s="33"/>
    </row>
    <row r="147" spans="1:13" s="307" customFormat="1" ht="28.5" hidden="1" customHeight="1" x14ac:dyDescent="0.35">
      <c r="A147" s="40"/>
      <c r="B147" s="63"/>
      <c r="C147" s="42" t="s">
        <v>51</v>
      </c>
      <c r="D147" s="43" t="s">
        <v>245</v>
      </c>
      <c r="E147" s="42" t="s">
        <v>185</v>
      </c>
      <c r="F147" s="64" t="s">
        <v>246</v>
      </c>
      <c r="G147" s="44"/>
      <c r="H147" s="44"/>
      <c r="I147" s="154"/>
      <c r="J147" s="154"/>
      <c r="K147" s="153">
        <f t="shared" si="1"/>
        <v>0</v>
      </c>
      <c r="L147" s="33"/>
    </row>
    <row r="148" spans="1:13" s="307" customFormat="1" ht="28.5" hidden="1" customHeight="1" x14ac:dyDescent="0.35">
      <c r="A148" s="40"/>
      <c r="B148" s="63"/>
      <c r="C148" s="42" t="s">
        <v>51</v>
      </c>
      <c r="D148" s="43" t="s">
        <v>247</v>
      </c>
      <c r="E148" s="42" t="s">
        <v>213</v>
      </c>
      <c r="F148" s="42">
        <v>1</v>
      </c>
      <c r="G148" s="44">
        <v>31</v>
      </c>
      <c r="H148" s="44">
        <v>13</v>
      </c>
      <c r="I148" s="154"/>
      <c r="J148" s="154"/>
      <c r="K148" s="153">
        <f t="shared" si="1"/>
        <v>0</v>
      </c>
      <c r="L148" s="33"/>
    </row>
    <row r="149" spans="1:13" s="307" customFormat="1" ht="54" hidden="1" x14ac:dyDescent="0.35">
      <c r="A149" s="40" t="s">
        <v>248</v>
      </c>
      <c r="B149" s="63" t="s">
        <v>249</v>
      </c>
      <c r="C149" s="42" t="s">
        <v>51</v>
      </c>
      <c r="D149" s="43"/>
      <c r="E149" s="42"/>
      <c r="F149" s="42"/>
      <c r="G149" s="44"/>
      <c r="H149" s="44">
        <v>15168.041516666666</v>
      </c>
      <c r="I149" s="154">
        <v>15100</v>
      </c>
      <c r="J149" s="154">
        <v>70800</v>
      </c>
      <c r="K149" s="153">
        <f t="shared" si="1"/>
        <v>85900</v>
      </c>
      <c r="L149" s="33"/>
    </row>
    <row r="150" spans="1:13" s="307" customFormat="1" ht="63" hidden="1" x14ac:dyDescent="0.35">
      <c r="A150" s="40"/>
      <c r="B150" s="63"/>
      <c r="C150" s="42" t="s">
        <v>51</v>
      </c>
      <c r="D150" s="43" t="s">
        <v>250</v>
      </c>
      <c r="E150" s="42" t="s">
        <v>185</v>
      </c>
      <c r="F150" s="42">
        <v>0.5</v>
      </c>
      <c r="G150" s="44">
        <v>6911.833333333333</v>
      </c>
      <c r="H150" s="44">
        <v>3455.9166666666665</v>
      </c>
      <c r="I150" s="154"/>
      <c r="J150" s="154"/>
      <c r="K150" s="153">
        <f t="shared" si="1"/>
        <v>0</v>
      </c>
      <c r="L150" s="33"/>
    </row>
    <row r="151" spans="1:13" s="307" customFormat="1" ht="63" hidden="1" x14ac:dyDescent="0.35">
      <c r="A151" s="40"/>
      <c r="B151" s="63"/>
      <c r="C151" s="42" t="s">
        <v>51</v>
      </c>
      <c r="D151" s="43" t="s">
        <v>251</v>
      </c>
      <c r="E151" s="42" t="s">
        <v>185</v>
      </c>
      <c r="F151" s="42">
        <v>1.5</v>
      </c>
      <c r="G151" s="44">
        <v>6911.833333333333</v>
      </c>
      <c r="H151" s="44">
        <v>10367.75</v>
      </c>
      <c r="I151" s="154"/>
      <c r="J151" s="154"/>
      <c r="K151" s="153">
        <f t="shared" si="1"/>
        <v>0</v>
      </c>
      <c r="L151" s="33"/>
    </row>
    <row r="152" spans="1:13" s="307" customFormat="1" ht="31.8" hidden="1" x14ac:dyDescent="0.35">
      <c r="A152" s="40"/>
      <c r="B152" s="63"/>
      <c r="C152" s="42" t="s">
        <v>51</v>
      </c>
      <c r="D152" s="43" t="s">
        <v>240</v>
      </c>
      <c r="E152" s="42" t="s">
        <v>185</v>
      </c>
      <c r="F152" s="42">
        <v>0.33329999999999999</v>
      </c>
      <c r="G152" s="44">
        <v>3754.5</v>
      </c>
      <c r="H152" s="44">
        <v>1251.3748499999999</v>
      </c>
      <c r="I152" s="154"/>
      <c r="J152" s="154"/>
      <c r="K152" s="153">
        <f t="shared" si="1"/>
        <v>0</v>
      </c>
      <c r="L152" s="33"/>
    </row>
    <row r="153" spans="1:13" s="307" customFormat="1" ht="28.5" hidden="1" customHeight="1" x14ac:dyDescent="0.35">
      <c r="A153" s="40"/>
      <c r="B153" s="63"/>
      <c r="C153" s="42" t="s">
        <v>51</v>
      </c>
      <c r="D153" s="43" t="s">
        <v>247</v>
      </c>
      <c r="E153" s="42" t="s">
        <v>213</v>
      </c>
      <c r="F153" s="64" t="s">
        <v>252</v>
      </c>
      <c r="G153" s="44">
        <v>31</v>
      </c>
      <c r="H153" s="44">
        <v>93</v>
      </c>
      <c r="I153" s="154"/>
      <c r="J153" s="154"/>
      <c r="K153" s="153">
        <f t="shared" si="1"/>
        <v>0</v>
      </c>
      <c r="L153" s="33"/>
    </row>
    <row r="154" spans="1:13" s="307" customFormat="1" ht="54" hidden="1" x14ac:dyDescent="0.35">
      <c r="A154" s="40" t="s">
        <v>253</v>
      </c>
      <c r="B154" s="63" t="s">
        <v>254</v>
      </c>
      <c r="C154" s="42" t="s">
        <v>51</v>
      </c>
      <c r="D154" s="43"/>
      <c r="E154" s="42"/>
      <c r="F154" s="42"/>
      <c r="G154" s="44"/>
      <c r="H154" s="44">
        <v>20225.749999999996</v>
      </c>
      <c r="I154" s="154">
        <v>20200</v>
      </c>
      <c r="J154" s="154">
        <v>106100</v>
      </c>
      <c r="K154" s="153">
        <f t="shared" ref="K154:K175" si="2">I154+J154</f>
        <v>126300</v>
      </c>
      <c r="L154" s="33"/>
    </row>
    <row r="155" spans="1:13" s="307" customFormat="1" ht="63" hidden="1" x14ac:dyDescent="0.35">
      <c r="A155" s="40"/>
      <c r="B155" s="63"/>
      <c r="C155" s="42" t="s">
        <v>51</v>
      </c>
      <c r="D155" s="43" t="s">
        <v>250</v>
      </c>
      <c r="E155" s="42" t="s">
        <v>185</v>
      </c>
      <c r="F155" s="42">
        <v>0.7</v>
      </c>
      <c r="G155" s="44">
        <v>6911.833333333333</v>
      </c>
      <c r="H155" s="44">
        <v>4838.2833333333328</v>
      </c>
      <c r="I155" s="154"/>
      <c r="J155" s="154"/>
      <c r="K155" s="153">
        <f t="shared" si="2"/>
        <v>0</v>
      </c>
      <c r="L155" s="33"/>
    </row>
    <row r="156" spans="1:13" s="307" customFormat="1" ht="63" hidden="1" x14ac:dyDescent="0.35">
      <c r="A156" s="40"/>
      <c r="B156" s="63"/>
      <c r="C156" s="42" t="s">
        <v>51</v>
      </c>
      <c r="D156" s="43" t="s">
        <v>251</v>
      </c>
      <c r="E156" s="42" t="s">
        <v>185</v>
      </c>
      <c r="F156" s="42">
        <v>2</v>
      </c>
      <c r="G156" s="44">
        <v>6911.833333333333</v>
      </c>
      <c r="H156" s="44">
        <v>13823.666666666666</v>
      </c>
      <c r="I156" s="154"/>
      <c r="J156" s="154"/>
      <c r="K156" s="153">
        <f t="shared" si="2"/>
        <v>0</v>
      </c>
      <c r="L156" s="33"/>
    </row>
    <row r="157" spans="1:13" s="307" customFormat="1" ht="31.8" hidden="1" x14ac:dyDescent="0.35">
      <c r="A157" s="40"/>
      <c r="B157" s="63"/>
      <c r="C157" s="42" t="s">
        <v>51</v>
      </c>
      <c r="D157" s="43" t="s">
        <v>240</v>
      </c>
      <c r="E157" s="42" t="s">
        <v>185</v>
      </c>
      <c r="F157" s="42">
        <v>0.4</v>
      </c>
      <c r="G157" s="44">
        <v>3754.5</v>
      </c>
      <c r="H157" s="44">
        <v>1501.8000000000002</v>
      </c>
      <c r="I157" s="154"/>
      <c r="J157" s="154"/>
      <c r="K157" s="153">
        <f t="shared" si="2"/>
        <v>0</v>
      </c>
      <c r="L157" s="33"/>
    </row>
    <row r="158" spans="1:13" s="307" customFormat="1" ht="28.5" hidden="1" customHeight="1" x14ac:dyDescent="0.35">
      <c r="A158" s="40"/>
      <c r="B158" s="63"/>
      <c r="C158" s="42" t="s">
        <v>51</v>
      </c>
      <c r="D158" s="43" t="s">
        <v>247</v>
      </c>
      <c r="E158" s="42" t="s">
        <v>213</v>
      </c>
      <c r="F158" s="42">
        <v>2</v>
      </c>
      <c r="G158" s="44">
        <v>31</v>
      </c>
      <c r="H158" s="44">
        <v>62</v>
      </c>
      <c r="I158" s="154"/>
      <c r="J158" s="154"/>
      <c r="K158" s="153">
        <f t="shared" si="2"/>
        <v>0</v>
      </c>
      <c r="L158" s="33"/>
    </row>
    <row r="159" spans="1:13" s="307" customFormat="1" ht="18" x14ac:dyDescent="0.35">
      <c r="A159" s="29" t="s">
        <v>453</v>
      </c>
      <c r="B159" s="62" t="s">
        <v>105</v>
      </c>
      <c r="C159" s="31" t="s">
        <v>51</v>
      </c>
      <c r="D159" s="34"/>
      <c r="E159" s="31"/>
      <c r="F159" s="31"/>
      <c r="G159" s="33"/>
      <c r="H159" s="33">
        <v>31</v>
      </c>
      <c r="I159" s="153"/>
      <c r="J159" s="153">
        <v>1.77</v>
      </c>
      <c r="K159" s="153">
        <f t="shared" si="2"/>
        <v>1.77</v>
      </c>
      <c r="L159" s="33">
        <v>17700</v>
      </c>
      <c r="M159" s="33">
        <v>17700</v>
      </c>
    </row>
    <row r="160" spans="1:13" s="307" customFormat="1" ht="31.8" hidden="1" x14ac:dyDescent="0.35">
      <c r="A160" s="29"/>
      <c r="B160" s="62"/>
      <c r="C160" s="31" t="s">
        <v>51</v>
      </c>
      <c r="D160" s="34" t="s">
        <v>255</v>
      </c>
      <c r="E160" s="31" t="s">
        <v>213</v>
      </c>
      <c r="F160" s="31">
        <v>1</v>
      </c>
      <c r="G160" s="48">
        <v>31</v>
      </c>
      <c r="H160" s="33">
        <v>31</v>
      </c>
      <c r="I160" s="153"/>
      <c r="J160" s="153"/>
      <c r="K160" s="153">
        <f t="shared" si="2"/>
        <v>0</v>
      </c>
      <c r="L160" s="33"/>
    </row>
    <row r="161" spans="1:13" s="307" customFormat="1" ht="54" hidden="1" x14ac:dyDescent="0.35">
      <c r="A161" s="40" t="s">
        <v>256</v>
      </c>
      <c r="B161" s="63" t="s">
        <v>257</v>
      </c>
      <c r="C161" s="42" t="s">
        <v>51</v>
      </c>
      <c r="D161" s="43"/>
      <c r="E161" s="42"/>
      <c r="F161" s="42"/>
      <c r="G161" s="44"/>
      <c r="H161" s="44">
        <v>3175.3</v>
      </c>
      <c r="I161" s="154">
        <v>3200</v>
      </c>
      <c r="J161" s="154">
        <v>28300</v>
      </c>
      <c r="K161" s="153">
        <f t="shared" si="2"/>
        <v>31500</v>
      </c>
      <c r="L161" s="33"/>
    </row>
    <row r="162" spans="1:13" s="307" customFormat="1" ht="47.4" hidden="1" x14ac:dyDescent="0.35">
      <c r="A162" s="40"/>
      <c r="B162" s="63"/>
      <c r="C162" s="42" t="s">
        <v>51</v>
      </c>
      <c r="D162" s="43" t="s">
        <v>258</v>
      </c>
      <c r="E162" s="42" t="s">
        <v>213</v>
      </c>
      <c r="F162" s="42">
        <v>0.3</v>
      </c>
      <c r="G162" s="44">
        <v>10584.333333333334</v>
      </c>
      <c r="H162" s="44">
        <v>3175.3</v>
      </c>
      <c r="I162" s="154"/>
      <c r="J162" s="154"/>
      <c r="K162" s="153">
        <f t="shared" si="2"/>
        <v>0</v>
      </c>
      <c r="L162" s="33"/>
    </row>
    <row r="163" spans="1:13" s="307" customFormat="1" ht="36" x14ac:dyDescent="0.35">
      <c r="A163" s="29" t="s">
        <v>454</v>
      </c>
      <c r="B163" s="62" t="s">
        <v>107</v>
      </c>
      <c r="C163" s="31" t="s">
        <v>51</v>
      </c>
      <c r="D163" s="34"/>
      <c r="E163" s="31"/>
      <c r="F163" s="31"/>
      <c r="G163" s="33"/>
      <c r="H163" s="33">
        <v>4266.8566666666666</v>
      </c>
      <c r="I163" s="153">
        <v>0.43</v>
      </c>
      <c r="J163" s="153">
        <v>6.37</v>
      </c>
      <c r="K163" s="153">
        <f t="shared" si="2"/>
        <v>6.8</v>
      </c>
      <c r="L163" s="33">
        <v>68000</v>
      </c>
      <c r="M163" s="33">
        <v>68000</v>
      </c>
    </row>
    <row r="164" spans="1:13" s="307" customFormat="1" ht="33" hidden="1" customHeight="1" x14ac:dyDescent="0.35">
      <c r="A164" s="29"/>
      <c r="B164" s="27"/>
      <c r="C164" s="31" t="s">
        <v>51</v>
      </c>
      <c r="D164" s="34" t="s">
        <v>259</v>
      </c>
      <c r="E164" s="31" t="s">
        <v>201</v>
      </c>
      <c r="F164" s="31">
        <v>0.15</v>
      </c>
      <c r="G164" s="33">
        <v>3542.6</v>
      </c>
      <c r="H164" s="33">
        <v>531.39</v>
      </c>
      <c r="I164" s="153"/>
      <c r="J164" s="153"/>
      <c r="K164" s="153">
        <f t="shared" si="2"/>
        <v>0</v>
      </c>
      <c r="L164" s="33"/>
    </row>
    <row r="165" spans="1:13" s="307" customFormat="1" ht="18" hidden="1" customHeight="1" x14ac:dyDescent="0.35">
      <c r="A165" s="29"/>
      <c r="B165" s="27"/>
      <c r="C165" s="31" t="s">
        <v>51</v>
      </c>
      <c r="D165" s="34" t="s">
        <v>260</v>
      </c>
      <c r="E165" s="31" t="s">
        <v>213</v>
      </c>
      <c r="F165" s="31">
        <v>0.5</v>
      </c>
      <c r="G165" s="33"/>
      <c r="H165" s="33">
        <v>0</v>
      </c>
      <c r="I165" s="153"/>
      <c r="J165" s="153"/>
      <c r="K165" s="153">
        <f t="shared" si="2"/>
        <v>0</v>
      </c>
      <c r="L165" s="33"/>
    </row>
    <row r="166" spans="1:13" s="307" customFormat="1" ht="18" hidden="1" x14ac:dyDescent="0.35">
      <c r="A166" s="29"/>
      <c r="B166" s="27"/>
      <c r="C166" s="31" t="s">
        <v>51</v>
      </c>
      <c r="D166" s="34" t="s">
        <v>261</v>
      </c>
      <c r="E166" s="31" t="s">
        <v>185</v>
      </c>
      <c r="F166" s="31">
        <v>1</v>
      </c>
      <c r="G166" s="33"/>
      <c r="H166" s="33">
        <v>0</v>
      </c>
      <c r="I166" s="153"/>
      <c r="J166" s="153"/>
      <c r="K166" s="153">
        <f t="shared" si="2"/>
        <v>0</v>
      </c>
      <c r="L166" s="33"/>
    </row>
    <row r="167" spans="1:13" s="307" customFormat="1" ht="18" hidden="1" x14ac:dyDescent="0.35">
      <c r="A167" s="29"/>
      <c r="B167" s="27"/>
      <c r="C167" s="31" t="s">
        <v>51</v>
      </c>
      <c r="D167" s="34" t="s">
        <v>262</v>
      </c>
      <c r="E167" s="31" t="s">
        <v>185</v>
      </c>
      <c r="F167" s="31" t="s">
        <v>263</v>
      </c>
      <c r="G167" s="33"/>
      <c r="H167" s="33"/>
      <c r="I167" s="153"/>
      <c r="J167" s="153"/>
      <c r="K167" s="153">
        <f t="shared" si="2"/>
        <v>0</v>
      </c>
      <c r="L167" s="33"/>
    </row>
    <row r="168" spans="1:13" s="307" customFormat="1" ht="18" hidden="1" x14ac:dyDescent="0.35">
      <c r="A168" s="29"/>
      <c r="B168" s="27"/>
      <c r="C168" s="31" t="s">
        <v>51</v>
      </c>
      <c r="D168" s="34" t="s">
        <v>264</v>
      </c>
      <c r="E168" s="31" t="s">
        <v>185</v>
      </c>
      <c r="F168" s="31">
        <v>0.2</v>
      </c>
      <c r="G168" s="33">
        <v>4177.333333333333</v>
      </c>
      <c r="H168" s="33">
        <v>835.4666666666667</v>
      </c>
      <c r="I168" s="153"/>
      <c r="J168" s="153"/>
      <c r="K168" s="153">
        <f t="shared" si="2"/>
        <v>0</v>
      </c>
      <c r="L168" s="33"/>
    </row>
    <row r="169" spans="1:13" s="307" customFormat="1" ht="18" hidden="1" x14ac:dyDescent="0.35">
      <c r="A169" s="29"/>
      <c r="B169" s="27"/>
      <c r="C169" s="31" t="s">
        <v>51</v>
      </c>
      <c r="D169" s="34" t="s">
        <v>265</v>
      </c>
      <c r="E169" s="31" t="s">
        <v>185</v>
      </c>
      <c r="F169" s="31" t="s">
        <v>266</v>
      </c>
      <c r="G169" s="33"/>
      <c r="H169" s="33"/>
      <c r="I169" s="153"/>
      <c r="J169" s="153"/>
      <c r="K169" s="153">
        <f t="shared" si="2"/>
        <v>0</v>
      </c>
      <c r="L169" s="33"/>
    </row>
    <row r="170" spans="1:13" s="307" customFormat="1" ht="18" hidden="1" x14ac:dyDescent="0.35">
      <c r="A170" s="29"/>
      <c r="B170" s="27"/>
      <c r="C170" s="31" t="s">
        <v>51</v>
      </c>
      <c r="D170" s="34" t="s">
        <v>267</v>
      </c>
      <c r="E170" s="31" t="s">
        <v>185</v>
      </c>
      <c r="F170" s="31">
        <v>5</v>
      </c>
      <c r="G170" s="61">
        <v>580</v>
      </c>
      <c r="H170" s="33">
        <v>2900</v>
      </c>
      <c r="I170" s="153"/>
      <c r="J170" s="153"/>
      <c r="K170" s="153">
        <f t="shared" si="2"/>
        <v>0</v>
      </c>
      <c r="L170" s="33"/>
    </row>
    <row r="171" spans="1:13" s="307" customFormat="1" ht="90" x14ac:dyDescent="0.35">
      <c r="A171" s="36" t="s">
        <v>92</v>
      </c>
      <c r="B171" s="65" t="s">
        <v>270</v>
      </c>
      <c r="C171" s="38" t="s">
        <v>51</v>
      </c>
      <c r="D171" s="39"/>
      <c r="E171" s="38"/>
      <c r="F171" s="38"/>
      <c r="G171" s="61"/>
      <c r="H171" s="61"/>
      <c r="I171" s="155"/>
      <c r="J171" s="155"/>
      <c r="K171" s="155"/>
      <c r="L171" s="33"/>
      <c r="M171" s="326"/>
    </row>
    <row r="172" spans="1:13" s="327" customFormat="1" ht="36" x14ac:dyDescent="0.35">
      <c r="A172" s="36" t="s">
        <v>94</v>
      </c>
      <c r="B172" s="65" t="s">
        <v>111</v>
      </c>
      <c r="C172" s="66" t="s">
        <v>312</v>
      </c>
      <c r="D172" s="39"/>
      <c r="E172" s="38"/>
      <c r="F172" s="38"/>
      <c r="G172" s="61"/>
      <c r="H172" s="61"/>
      <c r="I172" s="155">
        <v>0.2</v>
      </c>
      <c r="J172" s="155">
        <v>5.31</v>
      </c>
      <c r="K172" s="153">
        <f t="shared" si="2"/>
        <v>5.51</v>
      </c>
      <c r="L172" s="61">
        <v>55100</v>
      </c>
      <c r="M172" s="61">
        <v>55100</v>
      </c>
    </row>
    <row r="173" spans="1:13" s="327" customFormat="1" ht="18" x14ac:dyDescent="0.35">
      <c r="A173" s="36" t="s">
        <v>96</v>
      </c>
      <c r="B173" s="65" t="s">
        <v>114</v>
      </c>
      <c r="C173" s="66" t="s">
        <v>312</v>
      </c>
      <c r="D173" s="39"/>
      <c r="E173" s="38"/>
      <c r="F173" s="38"/>
      <c r="G173" s="61"/>
      <c r="H173" s="61"/>
      <c r="I173" s="155">
        <v>0.3</v>
      </c>
      <c r="J173" s="155">
        <v>7.08</v>
      </c>
      <c r="K173" s="153">
        <f t="shared" si="2"/>
        <v>7.38</v>
      </c>
      <c r="L173" s="61">
        <v>73800</v>
      </c>
      <c r="M173" s="61">
        <v>73800</v>
      </c>
    </row>
    <row r="174" spans="1:13" s="327" customFormat="1" ht="18" x14ac:dyDescent="0.35">
      <c r="A174" s="36" t="s">
        <v>98</v>
      </c>
      <c r="B174" s="65" t="s">
        <v>116</v>
      </c>
      <c r="C174" s="66" t="s">
        <v>312</v>
      </c>
      <c r="D174" s="39"/>
      <c r="E174" s="38"/>
      <c r="F174" s="38"/>
      <c r="G174" s="61"/>
      <c r="H174" s="61"/>
      <c r="I174" s="155">
        <v>0.41</v>
      </c>
      <c r="J174" s="155">
        <v>7.78</v>
      </c>
      <c r="K174" s="153">
        <f t="shared" si="2"/>
        <v>8.19</v>
      </c>
      <c r="L174" s="61">
        <v>81900</v>
      </c>
      <c r="M174" s="61">
        <v>81900</v>
      </c>
    </row>
    <row r="175" spans="1:13" s="327" customFormat="1" ht="18" x14ac:dyDescent="0.35">
      <c r="A175" s="36" t="s">
        <v>100</v>
      </c>
      <c r="B175" s="65" t="s">
        <v>118</v>
      </c>
      <c r="C175" s="66" t="s">
        <v>312</v>
      </c>
      <c r="D175" s="39"/>
      <c r="E175" s="38"/>
      <c r="F175" s="38"/>
      <c r="G175" s="61"/>
      <c r="H175" s="61"/>
      <c r="I175" s="155">
        <v>0.51</v>
      </c>
      <c r="J175" s="155">
        <v>10.61</v>
      </c>
      <c r="K175" s="153">
        <f t="shared" si="2"/>
        <v>11.12</v>
      </c>
      <c r="L175" s="61">
        <v>111200</v>
      </c>
      <c r="M175" s="61">
        <v>111200</v>
      </c>
    </row>
    <row r="176" spans="1:13" s="307" customFormat="1" ht="90" x14ac:dyDescent="0.35">
      <c r="A176" s="29" t="s">
        <v>108</v>
      </c>
      <c r="B176" s="65" t="s">
        <v>109</v>
      </c>
      <c r="C176" s="38" t="s">
        <v>51</v>
      </c>
      <c r="D176" s="39"/>
      <c r="E176" s="31"/>
      <c r="F176" s="31"/>
      <c r="G176" s="33"/>
      <c r="H176" s="33"/>
      <c r="I176" s="153"/>
      <c r="J176" s="153"/>
      <c r="K176" s="153"/>
      <c r="L176" s="33"/>
      <c r="M176" s="326"/>
    </row>
    <row r="177" spans="1:13" s="307" customFormat="1" ht="36" x14ac:dyDescent="0.35">
      <c r="A177" s="29" t="s">
        <v>110</v>
      </c>
      <c r="B177" s="65" t="s">
        <v>111</v>
      </c>
      <c r="C177" s="66" t="s">
        <v>112</v>
      </c>
      <c r="D177" s="60" t="s">
        <v>268</v>
      </c>
      <c r="E177" s="31"/>
      <c r="F177" s="31"/>
      <c r="G177" s="33"/>
      <c r="H177" s="33">
        <v>14094.71875</v>
      </c>
      <c r="I177" s="153">
        <v>1.41</v>
      </c>
      <c r="J177" s="153">
        <v>5.31</v>
      </c>
      <c r="K177" s="153">
        <f t="shared" ref="K177:K182" si="3">I177+J177</f>
        <v>6.72</v>
      </c>
      <c r="L177" s="33">
        <v>67200</v>
      </c>
      <c r="M177" s="33">
        <v>67200</v>
      </c>
    </row>
    <row r="178" spans="1:13" s="307" customFormat="1" ht="33" hidden="1" customHeight="1" x14ac:dyDescent="0.35">
      <c r="A178" s="29"/>
      <c r="B178" s="37"/>
      <c r="C178" s="38"/>
      <c r="D178" s="39" t="s">
        <v>269</v>
      </c>
      <c r="E178" s="31" t="s">
        <v>201</v>
      </c>
      <c r="F178" s="31">
        <v>0.2</v>
      </c>
      <c r="G178" s="35">
        <v>70473.59375</v>
      </c>
      <c r="H178" s="33">
        <v>14094.71875</v>
      </c>
      <c r="I178" s="153"/>
      <c r="J178" s="153"/>
      <c r="K178" s="153">
        <f t="shared" si="3"/>
        <v>0</v>
      </c>
      <c r="L178" s="33"/>
    </row>
    <row r="179" spans="1:13" s="307" customFormat="1" ht="18" x14ac:dyDescent="0.35">
      <c r="A179" s="29" t="s">
        <v>113</v>
      </c>
      <c r="B179" s="65" t="s">
        <v>114</v>
      </c>
      <c r="C179" s="66" t="s">
        <v>112</v>
      </c>
      <c r="D179" s="60" t="s">
        <v>268</v>
      </c>
      <c r="E179" s="31"/>
      <c r="F179" s="31"/>
      <c r="G179" s="33"/>
      <c r="H179" s="33">
        <v>21142.078125</v>
      </c>
      <c r="I179" s="153">
        <v>2.12</v>
      </c>
      <c r="J179" s="153">
        <v>7.08</v>
      </c>
      <c r="K179" s="153">
        <f t="shared" si="3"/>
        <v>9.1999999999999993</v>
      </c>
      <c r="L179" s="33">
        <v>92000</v>
      </c>
      <c r="M179" s="33">
        <v>92000</v>
      </c>
    </row>
    <row r="180" spans="1:13" s="307" customFormat="1" ht="32.4" hidden="1" customHeight="1" x14ac:dyDescent="0.35">
      <c r="A180" s="29"/>
      <c r="B180" s="37"/>
      <c r="C180" s="38"/>
      <c r="D180" s="39" t="s">
        <v>269</v>
      </c>
      <c r="E180" s="31" t="s">
        <v>201</v>
      </c>
      <c r="F180" s="31">
        <v>0.3</v>
      </c>
      <c r="G180" s="48">
        <v>70473.59375</v>
      </c>
      <c r="H180" s="33">
        <v>21142.078125</v>
      </c>
      <c r="I180" s="153"/>
      <c r="J180" s="153"/>
      <c r="K180" s="153">
        <f t="shared" si="3"/>
        <v>0</v>
      </c>
      <c r="L180" s="33"/>
    </row>
    <row r="181" spans="1:13" s="307" customFormat="1" ht="18" x14ac:dyDescent="0.35">
      <c r="A181" s="29" t="s">
        <v>115</v>
      </c>
      <c r="B181" s="65" t="s">
        <v>116</v>
      </c>
      <c r="C181" s="66" t="s">
        <v>112</v>
      </c>
      <c r="D181" s="60" t="s">
        <v>268</v>
      </c>
      <c r="E181" s="31"/>
      <c r="F181" s="31"/>
      <c r="G181" s="33"/>
      <c r="H181" s="33">
        <v>28189.4375</v>
      </c>
      <c r="I181" s="153">
        <v>2.82</v>
      </c>
      <c r="J181" s="153">
        <v>7.78</v>
      </c>
      <c r="K181" s="153">
        <f t="shared" si="3"/>
        <v>10.6</v>
      </c>
      <c r="L181" s="33">
        <v>106000</v>
      </c>
      <c r="M181" s="33">
        <v>106000</v>
      </c>
    </row>
    <row r="182" spans="1:13" s="307" customFormat="1" ht="33.6" hidden="1" customHeight="1" x14ac:dyDescent="0.35">
      <c r="A182" s="29"/>
      <c r="B182" s="37"/>
      <c r="C182" s="38"/>
      <c r="D182" s="39" t="s">
        <v>269</v>
      </c>
      <c r="E182" s="31" t="s">
        <v>201</v>
      </c>
      <c r="F182" s="31">
        <v>0.4</v>
      </c>
      <c r="G182" s="48">
        <v>70473.59375</v>
      </c>
      <c r="H182" s="33">
        <v>28189.4375</v>
      </c>
      <c r="I182" s="153"/>
      <c r="J182" s="153"/>
      <c r="K182" s="153">
        <f t="shared" si="3"/>
        <v>0</v>
      </c>
      <c r="L182" s="33"/>
    </row>
    <row r="183" spans="1:13" s="307" customFormat="1" ht="18" x14ac:dyDescent="0.35">
      <c r="A183" s="29" t="s">
        <v>117</v>
      </c>
      <c r="B183" s="65" t="s">
        <v>118</v>
      </c>
      <c r="C183" s="66" t="s">
        <v>112</v>
      </c>
      <c r="D183" s="60" t="s">
        <v>268</v>
      </c>
      <c r="E183" s="31"/>
      <c r="F183" s="31"/>
      <c r="G183" s="33"/>
      <c r="H183" s="33">
        <v>35236.796875</v>
      </c>
      <c r="I183" s="153">
        <v>3.53</v>
      </c>
      <c r="J183" s="153">
        <v>10.61</v>
      </c>
      <c r="K183" s="153">
        <f>I183+J183</f>
        <v>14.139999999999999</v>
      </c>
      <c r="L183" s="33">
        <v>141400</v>
      </c>
      <c r="M183" s="33">
        <v>141400</v>
      </c>
    </row>
    <row r="184" spans="1:13" s="307" customFormat="1" ht="33.6" hidden="1" customHeight="1" x14ac:dyDescent="0.35">
      <c r="A184" s="36"/>
      <c r="B184" s="37"/>
      <c r="C184" s="38"/>
      <c r="D184" s="39" t="s">
        <v>269</v>
      </c>
      <c r="E184" s="31" t="s">
        <v>201</v>
      </c>
      <c r="F184" s="31">
        <v>0.5</v>
      </c>
      <c r="G184" s="48">
        <v>70473.59375</v>
      </c>
      <c r="H184" s="33">
        <v>35236.796875</v>
      </c>
      <c r="I184" s="153"/>
      <c r="J184" s="153"/>
      <c r="K184" s="153">
        <v>0</v>
      </c>
      <c r="L184" s="33"/>
    </row>
    <row r="185" spans="1:13" s="307" customFormat="1" ht="90" hidden="1" x14ac:dyDescent="0.35">
      <c r="A185" s="40" t="s">
        <v>119</v>
      </c>
      <c r="B185" s="41" t="s">
        <v>270</v>
      </c>
      <c r="C185" s="42" t="s">
        <v>51</v>
      </c>
      <c r="D185" s="43"/>
      <c r="E185" s="42"/>
      <c r="F185" s="42"/>
      <c r="G185" s="44"/>
      <c r="H185" s="44"/>
      <c r="I185" s="154"/>
      <c r="J185" s="154"/>
      <c r="K185" s="154"/>
      <c r="L185" s="33"/>
    </row>
    <row r="186" spans="1:13" s="307" customFormat="1" ht="36.75" hidden="1" customHeight="1" x14ac:dyDescent="0.35">
      <c r="A186" s="40" t="s">
        <v>120</v>
      </c>
      <c r="B186" s="41" t="s">
        <v>111</v>
      </c>
      <c r="C186" s="53" t="s">
        <v>271</v>
      </c>
      <c r="D186" s="54" t="s">
        <v>272</v>
      </c>
      <c r="E186" s="42"/>
      <c r="F186" s="42"/>
      <c r="G186" s="44"/>
      <c r="H186" s="44">
        <v>3629.2296296296299</v>
      </c>
      <c r="I186" s="154">
        <v>3650</v>
      </c>
      <c r="J186" s="154">
        <v>70800</v>
      </c>
      <c r="K186" s="154">
        <v>74450</v>
      </c>
      <c r="L186" s="33">
        <v>8760</v>
      </c>
    </row>
    <row r="187" spans="1:13" s="307" customFormat="1" ht="31.8" hidden="1" x14ac:dyDescent="0.35">
      <c r="A187" s="40"/>
      <c r="B187" s="45"/>
      <c r="C187" s="53"/>
      <c r="D187" s="43" t="s">
        <v>269</v>
      </c>
      <c r="E187" s="42" t="s">
        <v>201</v>
      </c>
      <c r="F187" s="42">
        <v>0.2</v>
      </c>
      <c r="G187" s="44">
        <v>18146.14814814815</v>
      </c>
      <c r="H187" s="44">
        <v>3629.2296296296299</v>
      </c>
      <c r="I187" s="154"/>
      <c r="J187" s="154"/>
      <c r="K187" s="154">
        <v>0</v>
      </c>
      <c r="L187" s="33"/>
    </row>
    <row r="188" spans="1:13" s="307" customFormat="1" ht="42.75" hidden="1" customHeight="1" x14ac:dyDescent="0.35">
      <c r="A188" s="40"/>
      <c r="B188" s="41" t="s">
        <v>111</v>
      </c>
      <c r="C188" s="53" t="s">
        <v>273</v>
      </c>
      <c r="D188" s="54" t="s">
        <v>268</v>
      </c>
      <c r="E188" s="42"/>
      <c r="F188" s="42"/>
      <c r="G188" s="44"/>
      <c r="H188" s="44">
        <v>14094.71875</v>
      </c>
      <c r="I188" s="154">
        <v>15350</v>
      </c>
      <c r="J188" s="154">
        <v>70800</v>
      </c>
      <c r="K188" s="154">
        <v>86150</v>
      </c>
      <c r="L188" s="33">
        <v>7630</v>
      </c>
    </row>
    <row r="189" spans="1:13" s="307" customFormat="1" ht="31.8" hidden="1" x14ac:dyDescent="0.35">
      <c r="A189" s="40"/>
      <c r="B189" s="45"/>
      <c r="C189" s="53"/>
      <c r="D189" s="43" t="s">
        <v>269</v>
      </c>
      <c r="E189" s="42" t="s">
        <v>201</v>
      </c>
      <c r="F189" s="42">
        <v>0.2</v>
      </c>
      <c r="G189" s="44">
        <v>70473.59375</v>
      </c>
      <c r="H189" s="44">
        <v>14094.71875</v>
      </c>
      <c r="I189" s="154"/>
      <c r="J189" s="154"/>
      <c r="K189" s="154">
        <v>0</v>
      </c>
      <c r="L189" s="33"/>
    </row>
    <row r="190" spans="1:13" s="307" customFormat="1" ht="42.75" hidden="1" customHeight="1" x14ac:dyDescent="0.35">
      <c r="A190" s="40"/>
      <c r="B190" s="41" t="s">
        <v>111</v>
      </c>
      <c r="C190" s="53" t="s">
        <v>274</v>
      </c>
      <c r="D190" s="54" t="s">
        <v>275</v>
      </c>
      <c r="E190" s="42"/>
      <c r="F190" s="42"/>
      <c r="G190" s="44"/>
      <c r="H190" s="44">
        <v>6902.4390243902444</v>
      </c>
      <c r="I190" s="154">
        <v>6900</v>
      </c>
      <c r="J190" s="154">
        <v>70800</v>
      </c>
      <c r="K190" s="154">
        <v>77700</v>
      </c>
      <c r="L190" s="33">
        <v>7630</v>
      </c>
    </row>
    <row r="191" spans="1:13" s="307" customFormat="1" ht="31.8" hidden="1" x14ac:dyDescent="0.35">
      <c r="A191" s="40"/>
      <c r="B191" s="45"/>
      <c r="C191" s="53"/>
      <c r="D191" s="43" t="s">
        <v>269</v>
      </c>
      <c r="E191" s="42" t="s">
        <v>201</v>
      </c>
      <c r="F191" s="42">
        <v>0.2</v>
      </c>
      <c r="G191" s="44">
        <v>34512.195121951219</v>
      </c>
      <c r="H191" s="44">
        <v>6902.4390243902444</v>
      </c>
      <c r="I191" s="154"/>
      <c r="J191" s="154"/>
      <c r="K191" s="154">
        <v>0</v>
      </c>
      <c r="L191" s="33"/>
    </row>
    <row r="192" spans="1:13" s="307" customFormat="1" ht="18" hidden="1" x14ac:dyDescent="0.35">
      <c r="A192" s="40" t="s">
        <v>276</v>
      </c>
      <c r="B192" s="41" t="s">
        <v>277</v>
      </c>
      <c r="C192" s="53" t="s">
        <v>278</v>
      </c>
      <c r="D192" s="54" t="s">
        <v>272</v>
      </c>
      <c r="E192" s="42"/>
      <c r="F192" s="42"/>
      <c r="G192" s="44"/>
      <c r="H192" s="44">
        <v>5443.8444444444449</v>
      </c>
      <c r="I192" s="154">
        <v>5450</v>
      </c>
      <c r="J192" s="154">
        <v>88500</v>
      </c>
      <c r="K192" s="154">
        <v>93950</v>
      </c>
      <c r="L192" s="33">
        <v>12180</v>
      </c>
    </row>
    <row r="193" spans="1:12" s="307" customFormat="1" ht="31.8" hidden="1" x14ac:dyDescent="0.35">
      <c r="A193" s="40"/>
      <c r="B193" s="45"/>
      <c r="C193" s="53"/>
      <c r="D193" s="43" t="s">
        <v>269</v>
      </c>
      <c r="E193" s="42" t="s">
        <v>201</v>
      </c>
      <c r="F193" s="42">
        <v>0.3</v>
      </c>
      <c r="G193" s="44">
        <v>18146.14814814815</v>
      </c>
      <c r="H193" s="44">
        <v>5443.8444444444449</v>
      </c>
      <c r="I193" s="154"/>
      <c r="J193" s="154"/>
      <c r="K193" s="154">
        <v>0</v>
      </c>
      <c r="L193" s="33"/>
    </row>
    <row r="194" spans="1:12" s="307" customFormat="1" ht="18" hidden="1" x14ac:dyDescent="0.35">
      <c r="A194" s="40"/>
      <c r="B194" s="41" t="s">
        <v>277</v>
      </c>
      <c r="C194" s="53" t="s">
        <v>112</v>
      </c>
      <c r="D194" s="54" t="s">
        <v>268</v>
      </c>
      <c r="E194" s="42"/>
      <c r="F194" s="42"/>
      <c r="G194" s="44"/>
      <c r="H194" s="44">
        <v>23032.2</v>
      </c>
      <c r="I194" s="154">
        <v>23050</v>
      </c>
      <c r="J194" s="154">
        <v>88500</v>
      </c>
      <c r="K194" s="154">
        <v>111550</v>
      </c>
      <c r="L194" s="33">
        <v>16360</v>
      </c>
    </row>
    <row r="195" spans="1:12" s="307" customFormat="1" ht="31.8" hidden="1" x14ac:dyDescent="0.35">
      <c r="A195" s="40"/>
      <c r="B195" s="41"/>
      <c r="C195" s="53"/>
      <c r="D195" s="43" t="s">
        <v>269</v>
      </c>
      <c r="E195" s="42" t="s">
        <v>201</v>
      </c>
      <c r="F195" s="42">
        <v>0.3</v>
      </c>
      <c r="G195" s="44">
        <v>76774</v>
      </c>
      <c r="H195" s="44">
        <v>23032.2</v>
      </c>
      <c r="I195" s="154"/>
      <c r="J195" s="154"/>
      <c r="K195" s="154">
        <v>0</v>
      </c>
      <c r="L195" s="33"/>
    </row>
    <row r="196" spans="1:12" s="307" customFormat="1" ht="18" hidden="1" x14ac:dyDescent="0.35">
      <c r="A196" s="40"/>
      <c r="B196" s="41" t="s">
        <v>277</v>
      </c>
      <c r="C196" s="53" t="s">
        <v>274</v>
      </c>
      <c r="D196" s="54" t="s">
        <v>275</v>
      </c>
      <c r="E196" s="42"/>
      <c r="F196" s="42"/>
      <c r="G196" s="44"/>
      <c r="H196" s="44">
        <v>10353.658536585366</v>
      </c>
      <c r="I196" s="154">
        <v>10350</v>
      </c>
      <c r="J196" s="154">
        <v>88500</v>
      </c>
      <c r="K196" s="154">
        <v>98850</v>
      </c>
      <c r="L196" s="33">
        <v>16360</v>
      </c>
    </row>
    <row r="197" spans="1:12" s="307" customFormat="1" ht="31.8" hidden="1" x14ac:dyDescent="0.35">
      <c r="A197" s="40"/>
      <c r="B197" s="41"/>
      <c r="C197" s="53"/>
      <c r="D197" s="43" t="s">
        <v>269</v>
      </c>
      <c r="E197" s="42" t="s">
        <v>201</v>
      </c>
      <c r="F197" s="42">
        <v>0.3</v>
      </c>
      <c r="G197" s="44">
        <v>34512.195121951219</v>
      </c>
      <c r="H197" s="44">
        <v>10353.658536585366</v>
      </c>
      <c r="I197" s="154"/>
      <c r="J197" s="154"/>
      <c r="K197" s="154">
        <v>0</v>
      </c>
      <c r="L197" s="33"/>
    </row>
    <row r="198" spans="1:12" s="307" customFormat="1" ht="18" hidden="1" x14ac:dyDescent="0.35">
      <c r="A198" s="40" t="s">
        <v>279</v>
      </c>
      <c r="B198" s="41" t="s">
        <v>116</v>
      </c>
      <c r="C198" s="53" t="s">
        <v>271</v>
      </c>
      <c r="D198" s="54" t="s">
        <v>272</v>
      </c>
      <c r="E198" s="42"/>
      <c r="F198" s="42"/>
      <c r="G198" s="44"/>
      <c r="H198" s="44">
        <v>7258.4592592592599</v>
      </c>
      <c r="I198" s="154">
        <v>7250</v>
      </c>
      <c r="J198" s="154">
        <v>106100</v>
      </c>
      <c r="K198" s="154">
        <v>113350</v>
      </c>
      <c r="L198" s="33">
        <v>15600</v>
      </c>
    </row>
    <row r="199" spans="1:12" s="307" customFormat="1" ht="56.25" hidden="1" customHeight="1" x14ac:dyDescent="0.35">
      <c r="A199" s="40"/>
      <c r="B199" s="45"/>
      <c r="C199" s="53"/>
      <c r="D199" s="43" t="s">
        <v>269</v>
      </c>
      <c r="E199" s="42" t="s">
        <v>201</v>
      </c>
      <c r="F199" s="42">
        <v>0.4</v>
      </c>
      <c r="G199" s="44">
        <v>18146.14814814815</v>
      </c>
      <c r="H199" s="44">
        <v>7258.4592592592599</v>
      </c>
      <c r="I199" s="154"/>
      <c r="J199" s="154"/>
      <c r="K199" s="154">
        <v>0</v>
      </c>
      <c r="L199" s="33"/>
    </row>
    <row r="200" spans="1:12" s="307" customFormat="1" ht="18.75" hidden="1" customHeight="1" x14ac:dyDescent="0.35">
      <c r="A200" s="40"/>
      <c r="B200" s="41" t="s">
        <v>116</v>
      </c>
      <c r="C200" s="53" t="s">
        <v>273</v>
      </c>
      <c r="D200" s="54" t="s">
        <v>268</v>
      </c>
      <c r="E200" s="42"/>
      <c r="F200" s="42"/>
      <c r="G200" s="44"/>
      <c r="H200" s="44">
        <v>30709.600000000002</v>
      </c>
      <c r="I200" s="154">
        <v>30700</v>
      </c>
      <c r="J200" s="154">
        <v>106100</v>
      </c>
      <c r="K200" s="154">
        <v>136800</v>
      </c>
      <c r="L200" s="33">
        <v>16830</v>
      </c>
    </row>
    <row r="201" spans="1:12" s="307" customFormat="1" ht="56.25" hidden="1" customHeight="1" x14ac:dyDescent="0.35">
      <c r="A201" s="40"/>
      <c r="B201" s="45"/>
      <c r="C201" s="53"/>
      <c r="D201" s="43" t="s">
        <v>269</v>
      </c>
      <c r="E201" s="42" t="s">
        <v>201</v>
      </c>
      <c r="F201" s="42">
        <v>0.4</v>
      </c>
      <c r="G201" s="44">
        <v>76774</v>
      </c>
      <c r="H201" s="44">
        <v>30709.600000000002</v>
      </c>
      <c r="I201" s="154"/>
      <c r="J201" s="154"/>
      <c r="K201" s="154">
        <v>0</v>
      </c>
      <c r="L201" s="33"/>
    </row>
    <row r="202" spans="1:12" s="307" customFormat="1" ht="18.75" hidden="1" customHeight="1" x14ac:dyDescent="0.35">
      <c r="A202" s="40"/>
      <c r="B202" s="41" t="s">
        <v>116</v>
      </c>
      <c r="C202" s="53" t="s">
        <v>274</v>
      </c>
      <c r="D202" s="54" t="s">
        <v>275</v>
      </c>
      <c r="E202" s="42"/>
      <c r="F202" s="42"/>
      <c r="G202" s="44"/>
      <c r="H202" s="44">
        <v>13804.878048780489</v>
      </c>
      <c r="I202" s="154">
        <v>13800</v>
      </c>
      <c r="J202" s="154">
        <v>106100</v>
      </c>
      <c r="K202" s="154">
        <v>119900</v>
      </c>
      <c r="L202" s="33">
        <v>16830</v>
      </c>
    </row>
    <row r="203" spans="1:12" s="307" customFormat="1" ht="56.25" hidden="1" customHeight="1" x14ac:dyDescent="0.35">
      <c r="A203" s="40"/>
      <c r="B203" s="45"/>
      <c r="C203" s="53"/>
      <c r="D203" s="43" t="s">
        <v>269</v>
      </c>
      <c r="E203" s="42" t="s">
        <v>201</v>
      </c>
      <c r="F203" s="42">
        <v>0.4</v>
      </c>
      <c r="G203" s="44">
        <v>34512.195121951219</v>
      </c>
      <c r="H203" s="44">
        <v>13804.878048780489</v>
      </c>
      <c r="I203" s="154"/>
      <c r="J203" s="154"/>
      <c r="K203" s="154">
        <v>0</v>
      </c>
      <c r="L203" s="33"/>
    </row>
    <row r="204" spans="1:12" s="307" customFormat="1" ht="18" hidden="1" x14ac:dyDescent="0.35">
      <c r="A204" s="40" t="s">
        <v>280</v>
      </c>
      <c r="B204" s="41" t="s">
        <v>118</v>
      </c>
      <c r="C204" s="53" t="s">
        <v>271</v>
      </c>
      <c r="D204" s="54" t="s">
        <v>272</v>
      </c>
      <c r="E204" s="42"/>
      <c r="F204" s="42"/>
      <c r="G204" s="44"/>
      <c r="H204" s="44">
        <v>9073.0740740740748</v>
      </c>
      <c r="I204" s="154">
        <v>9050</v>
      </c>
      <c r="J204" s="154">
        <v>123800</v>
      </c>
      <c r="K204" s="154">
        <v>132850</v>
      </c>
      <c r="L204" s="33">
        <v>19020</v>
      </c>
    </row>
    <row r="205" spans="1:12" s="307" customFormat="1" ht="31.8" hidden="1" x14ac:dyDescent="0.35">
      <c r="A205" s="40"/>
      <c r="B205" s="45"/>
      <c r="C205" s="53"/>
      <c r="D205" s="43" t="s">
        <v>269</v>
      </c>
      <c r="E205" s="42" t="s">
        <v>201</v>
      </c>
      <c r="F205" s="42">
        <v>0.5</v>
      </c>
      <c r="G205" s="44">
        <v>18146.14814814815</v>
      </c>
      <c r="H205" s="44">
        <v>9073.0740740740748</v>
      </c>
      <c r="I205" s="154"/>
      <c r="J205" s="154"/>
      <c r="K205" s="154">
        <v>0</v>
      </c>
      <c r="L205" s="33"/>
    </row>
    <row r="206" spans="1:12" s="307" customFormat="1" ht="18" hidden="1" x14ac:dyDescent="0.35">
      <c r="A206" s="40"/>
      <c r="B206" s="41" t="s">
        <v>118</v>
      </c>
      <c r="C206" s="53" t="s">
        <v>273</v>
      </c>
      <c r="D206" s="54" t="s">
        <v>268</v>
      </c>
      <c r="E206" s="42"/>
      <c r="F206" s="42"/>
      <c r="G206" s="44"/>
      <c r="H206" s="44">
        <v>38387</v>
      </c>
      <c r="I206" s="154">
        <v>38400</v>
      </c>
      <c r="J206" s="154">
        <v>123800</v>
      </c>
      <c r="K206" s="154">
        <v>162200</v>
      </c>
      <c r="L206" s="33">
        <v>20560</v>
      </c>
    </row>
    <row r="207" spans="1:12" s="307" customFormat="1" ht="31.8" hidden="1" x14ac:dyDescent="0.35">
      <c r="A207" s="40"/>
      <c r="B207" s="45"/>
      <c r="C207" s="53"/>
      <c r="D207" s="43" t="s">
        <v>269</v>
      </c>
      <c r="E207" s="42" t="s">
        <v>201</v>
      </c>
      <c r="F207" s="42">
        <v>0.5</v>
      </c>
      <c r="G207" s="44">
        <v>76774</v>
      </c>
      <c r="H207" s="44">
        <v>38387</v>
      </c>
      <c r="I207" s="154"/>
      <c r="J207" s="154"/>
      <c r="K207" s="154">
        <v>0</v>
      </c>
      <c r="L207" s="33"/>
    </row>
    <row r="208" spans="1:12" s="307" customFormat="1" ht="18" hidden="1" x14ac:dyDescent="0.35">
      <c r="A208" s="40"/>
      <c r="B208" s="41" t="s">
        <v>118</v>
      </c>
      <c r="C208" s="53" t="s">
        <v>274</v>
      </c>
      <c r="D208" s="54" t="s">
        <v>275</v>
      </c>
      <c r="E208" s="42"/>
      <c r="F208" s="42"/>
      <c r="G208" s="44"/>
      <c r="H208" s="44">
        <v>17256.09756097561</v>
      </c>
      <c r="I208" s="154">
        <v>17250</v>
      </c>
      <c r="J208" s="154">
        <v>123800</v>
      </c>
      <c r="K208" s="154">
        <v>141050</v>
      </c>
      <c r="L208" s="33">
        <v>20560</v>
      </c>
    </row>
    <row r="209" spans="1:13" s="307" customFormat="1" ht="31.8" hidden="1" x14ac:dyDescent="0.35">
      <c r="A209" s="40"/>
      <c r="B209" s="45"/>
      <c r="C209" s="53"/>
      <c r="D209" s="43" t="s">
        <v>269</v>
      </c>
      <c r="E209" s="42" t="s">
        <v>201</v>
      </c>
      <c r="F209" s="42">
        <v>0.5</v>
      </c>
      <c r="G209" s="44">
        <v>34512.195121951219</v>
      </c>
      <c r="H209" s="44">
        <v>17256.09756097561</v>
      </c>
      <c r="I209" s="154"/>
      <c r="J209" s="154"/>
      <c r="K209" s="154">
        <v>0</v>
      </c>
      <c r="L209" s="33"/>
    </row>
    <row r="210" spans="1:13" s="307" customFormat="1" ht="36" x14ac:dyDescent="0.35">
      <c r="A210" s="29" t="s">
        <v>463</v>
      </c>
      <c r="B210" s="65" t="s">
        <v>111</v>
      </c>
      <c r="C210" s="66" t="s">
        <v>455</v>
      </c>
      <c r="D210" s="60" t="s">
        <v>268</v>
      </c>
      <c r="E210" s="31"/>
      <c r="F210" s="31"/>
      <c r="G210" s="33"/>
      <c r="H210" s="33">
        <v>14094.71875</v>
      </c>
      <c r="I210" s="153">
        <v>1.73</v>
      </c>
      <c r="J210" s="153">
        <v>5.31</v>
      </c>
      <c r="K210" s="153">
        <f t="shared" ref="K210:K212" si="4">I210+J210</f>
        <v>7.0399999999999991</v>
      </c>
      <c r="L210" s="33">
        <v>67200</v>
      </c>
      <c r="M210" s="33">
        <v>70400</v>
      </c>
    </row>
    <row r="211" spans="1:13" s="307" customFormat="1" ht="18" x14ac:dyDescent="0.35">
      <c r="A211" s="29" t="s">
        <v>464</v>
      </c>
      <c r="B211" s="65" t="s">
        <v>114</v>
      </c>
      <c r="C211" s="66" t="s">
        <v>455</v>
      </c>
      <c r="D211" s="60" t="s">
        <v>268</v>
      </c>
      <c r="E211" s="31"/>
      <c r="F211" s="31"/>
      <c r="G211" s="33"/>
      <c r="H211" s="33">
        <v>21142.078125</v>
      </c>
      <c r="I211" s="153">
        <v>2.59</v>
      </c>
      <c r="J211" s="153">
        <v>7.08</v>
      </c>
      <c r="K211" s="153">
        <f t="shared" si="4"/>
        <v>9.67</v>
      </c>
      <c r="L211" s="33">
        <v>92000</v>
      </c>
      <c r="M211" s="33">
        <v>96700</v>
      </c>
    </row>
    <row r="212" spans="1:13" s="307" customFormat="1" ht="18" x14ac:dyDescent="0.35">
      <c r="A212" s="29" t="s">
        <v>465</v>
      </c>
      <c r="B212" s="65" t="s">
        <v>116</v>
      </c>
      <c r="C212" s="66" t="s">
        <v>455</v>
      </c>
      <c r="D212" s="60" t="s">
        <v>268</v>
      </c>
      <c r="E212" s="31"/>
      <c r="F212" s="31"/>
      <c r="G212" s="33"/>
      <c r="H212" s="33">
        <v>28189.4375</v>
      </c>
      <c r="I212" s="153">
        <v>3.46</v>
      </c>
      <c r="J212" s="153">
        <v>7.78</v>
      </c>
      <c r="K212" s="153">
        <f t="shared" si="4"/>
        <v>11.24</v>
      </c>
      <c r="L212" s="33">
        <v>106000</v>
      </c>
      <c r="M212" s="33">
        <v>112400</v>
      </c>
    </row>
    <row r="213" spans="1:13" s="307" customFormat="1" ht="18" x14ac:dyDescent="0.35">
      <c r="A213" s="29" t="s">
        <v>466</v>
      </c>
      <c r="B213" s="65" t="s">
        <v>118</v>
      </c>
      <c r="C213" s="66" t="s">
        <v>455</v>
      </c>
      <c r="D213" s="60" t="s">
        <v>268</v>
      </c>
      <c r="E213" s="31"/>
      <c r="F213" s="31"/>
      <c r="G213" s="33"/>
      <c r="H213" s="33">
        <v>35236.796875</v>
      </c>
      <c r="I213" s="153">
        <v>4.32</v>
      </c>
      <c r="J213" s="153">
        <v>10.61</v>
      </c>
      <c r="K213" s="153">
        <f>I213+J213</f>
        <v>14.93</v>
      </c>
      <c r="L213" s="33">
        <v>141400</v>
      </c>
      <c r="M213" s="33">
        <v>149300</v>
      </c>
    </row>
    <row r="214" spans="1:13" s="307" customFormat="1" ht="36" x14ac:dyDescent="0.35">
      <c r="A214" s="301" t="s">
        <v>467</v>
      </c>
      <c r="B214" s="302" t="s">
        <v>111</v>
      </c>
      <c r="C214" s="300" t="s">
        <v>458</v>
      </c>
      <c r="D214" s="303" t="s">
        <v>268</v>
      </c>
      <c r="E214" s="304"/>
      <c r="F214" s="304"/>
      <c r="G214" s="305"/>
      <c r="H214" s="305">
        <f>SUM(H215:H215)</f>
        <v>3081</v>
      </c>
      <c r="I214" s="212">
        <v>1.91</v>
      </c>
      <c r="J214" s="155">
        <v>5.31</v>
      </c>
      <c r="K214" s="155">
        <f>I214+J214</f>
        <v>7.22</v>
      </c>
      <c r="L214" s="33">
        <v>67200</v>
      </c>
      <c r="M214" s="33">
        <v>70400</v>
      </c>
    </row>
    <row r="215" spans="1:13" s="307" customFormat="1" ht="18" x14ac:dyDescent="0.35">
      <c r="A215" s="301" t="s">
        <v>468</v>
      </c>
      <c r="B215" s="302" t="s">
        <v>114</v>
      </c>
      <c r="C215" s="300" t="s">
        <v>458</v>
      </c>
      <c r="D215" s="303" t="s">
        <v>268</v>
      </c>
      <c r="E215" s="304"/>
      <c r="F215" s="304"/>
      <c r="G215" s="305"/>
      <c r="H215" s="305">
        <f>SUM(H216:H216)</f>
        <v>3081</v>
      </c>
      <c r="I215" s="212">
        <v>2.87</v>
      </c>
      <c r="J215" s="155">
        <v>7.08</v>
      </c>
      <c r="K215" s="155">
        <f t="shared" ref="K215:K216" si="5">I215+J215</f>
        <v>9.9499999999999993</v>
      </c>
      <c r="L215" s="33">
        <v>92000</v>
      </c>
      <c r="M215" s="33">
        <v>96700</v>
      </c>
    </row>
    <row r="216" spans="1:13" s="307" customFormat="1" ht="18" x14ac:dyDescent="0.35">
      <c r="A216" s="301" t="s">
        <v>469</v>
      </c>
      <c r="B216" s="302" t="s">
        <v>116</v>
      </c>
      <c r="C216" s="300" t="s">
        <v>458</v>
      </c>
      <c r="D216" s="303" t="s">
        <v>268</v>
      </c>
      <c r="E216" s="304"/>
      <c r="F216" s="304"/>
      <c r="G216" s="305"/>
      <c r="H216" s="305">
        <f>SUM(H217:H217)</f>
        <v>3081</v>
      </c>
      <c r="I216" s="212">
        <v>3.83</v>
      </c>
      <c r="J216" s="155">
        <v>7.78</v>
      </c>
      <c r="K216" s="155">
        <f t="shared" si="5"/>
        <v>11.61</v>
      </c>
      <c r="L216" s="33">
        <v>106000</v>
      </c>
      <c r="M216" s="33">
        <v>112400</v>
      </c>
    </row>
    <row r="217" spans="1:13" s="307" customFormat="1" ht="18" x14ac:dyDescent="0.35">
      <c r="A217" s="301" t="s">
        <v>470</v>
      </c>
      <c r="B217" s="302" t="s">
        <v>118</v>
      </c>
      <c r="C217" s="300" t="s">
        <v>458</v>
      </c>
      <c r="D217" s="303" t="s">
        <v>268</v>
      </c>
      <c r="E217" s="304"/>
      <c r="F217" s="304"/>
      <c r="G217" s="305"/>
      <c r="H217" s="305">
        <f>SUM(H227:H227)</f>
        <v>3081</v>
      </c>
      <c r="I217" s="212">
        <v>4.78</v>
      </c>
      <c r="J217" s="155">
        <v>10.61</v>
      </c>
      <c r="K217" s="155">
        <f>I217+J217</f>
        <v>15.39</v>
      </c>
      <c r="L217" s="33">
        <v>141400</v>
      </c>
      <c r="M217" s="33">
        <v>149300</v>
      </c>
    </row>
    <row r="218" spans="1:13" s="307" customFormat="1" ht="90" x14ac:dyDescent="0.35">
      <c r="A218" s="29" t="s">
        <v>121</v>
      </c>
      <c r="B218" s="30" t="s">
        <v>122</v>
      </c>
      <c r="C218" s="56" t="s">
        <v>123</v>
      </c>
      <c r="D218" s="34"/>
      <c r="E218" s="31"/>
      <c r="F218" s="31"/>
      <c r="G218" s="33"/>
      <c r="H218" s="33"/>
      <c r="I218" s="153"/>
      <c r="J218" s="153"/>
      <c r="K218" s="153"/>
      <c r="L218" s="33"/>
      <c r="M218" s="326"/>
    </row>
    <row r="219" spans="1:13" s="307" customFormat="1" ht="36" x14ac:dyDescent="0.35">
      <c r="A219" s="29" t="s">
        <v>124</v>
      </c>
      <c r="B219" s="30" t="s">
        <v>111</v>
      </c>
      <c r="C219" s="31" t="s">
        <v>51</v>
      </c>
      <c r="D219" s="57" t="s">
        <v>229</v>
      </c>
      <c r="E219" s="31"/>
      <c r="F219" s="31"/>
      <c r="G219" s="33"/>
      <c r="H219" s="33">
        <v>8061.5519999999997</v>
      </c>
      <c r="I219" s="153">
        <v>0.81</v>
      </c>
      <c r="J219" s="153">
        <v>7.08</v>
      </c>
      <c r="K219" s="153">
        <f t="shared" ref="K219:K260" si="6">I219+J219</f>
        <v>7.8900000000000006</v>
      </c>
      <c r="L219" s="33">
        <v>78900</v>
      </c>
      <c r="M219" s="33">
        <v>78900</v>
      </c>
    </row>
    <row r="220" spans="1:13" s="307" customFormat="1" ht="18" hidden="1" x14ac:dyDescent="0.35">
      <c r="A220" s="29"/>
      <c r="B220" s="27"/>
      <c r="C220" s="31" t="s">
        <v>51</v>
      </c>
      <c r="D220" s="34" t="s">
        <v>281</v>
      </c>
      <c r="E220" s="31" t="s">
        <v>201</v>
      </c>
      <c r="F220" s="31">
        <v>0.3</v>
      </c>
      <c r="G220" s="35">
        <v>26871.84</v>
      </c>
      <c r="H220" s="33">
        <v>8061.5519999999997</v>
      </c>
      <c r="I220" s="153"/>
      <c r="J220" s="153"/>
      <c r="K220" s="153">
        <f t="shared" si="6"/>
        <v>0</v>
      </c>
      <c r="L220" s="33"/>
    </row>
    <row r="221" spans="1:13" s="307" customFormat="1" ht="18" x14ac:dyDescent="0.35">
      <c r="A221" s="29" t="s">
        <v>125</v>
      </c>
      <c r="B221" s="30" t="s">
        <v>114</v>
      </c>
      <c r="C221" s="31" t="s">
        <v>51</v>
      </c>
      <c r="D221" s="57" t="s">
        <v>229</v>
      </c>
      <c r="E221" s="31"/>
      <c r="F221" s="31"/>
      <c r="G221" s="33"/>
      <c r="H221" s="33">
        <v>10748.736000000001</v>
      </c>
      <c r="I221" s="153">
        <v>1.08</v>
      </c>
      <c r="J221" s="153">
        <v>8.85</v>
      </c>
      <c r="K221" s="153">
        <f t="shared" si="6"/>
        <v>9.93</v>
      </c>
      <c r="L221" s="33">
        <v>99300</v>
      </c>
      <c r="M221" s="33">
        <v>99300</v>
      </c>
    </row>
    <row r="222" spans="1:13" s="307" customFormat="1" ht="18.600000000000001" hidden="1" customHeight="1" x14ac:dyDescent="0.35">
      <c r="A222" s="29"/>
      <c r="B222" s="27"/>
      <c r="C222" s="31" t="s">
        <v>51</v>
      </c>
      <c r="D222" s="34" t="s">
        <v>281</v>
      </c>
      <c r="E222" s="31" t="s">
        <v>201</v>
      </c>
      <c r="F222" s="31">
        <v>0.4</v>
      </c>
      <c r="G222" s="48">
        <v>26871.84</v>
      </c>
      <c r="H222" s="33">
        <v>10748.736000000001</v>
      </c>
      <c r="I222" s="153"/>
      <c r="J222" s="153"/>
      <c r="K222" s="153">
        <f t="shared" si="6"/>
        <v>0</v>
      </c>
      <c r="L222" s="33"/>
    </row>
    <row r="223" spans="1:13" s="307" customFormat="1" ht="18" x14ac:dyDescent="0.35">
      <c r="A223" s="29" t="s">
        <v>126</v>
      </c>
      <c r="B223" s="30" t="s">
        <v>116</v>
      </c>
      <c r="C223" s="31" t="s">
        <v>51</v>
      </c>
      <c r="D223" s="57" t="s">
        <v>229</v>
      </c>
      <c r="E223" s="31"/>
      <c r="F223" s="31"/>
      <c r="G223" s="33"/>
      <c r="H223" s="33">
        <v>13435.92</v>
      </c>
      <c r="I223" s="153">
        <v>1.35</v>
      </c>
      <c r="J223" s="153">
        <v>10.61</v>
      </c>
      <c r="K223" s="153">
        <f t="shared" si="6"/>
        <v>11.959999999999999</v>
      </c>
      <c r="L223" s="33">
        <v>119600</v>
      </c>
      <c r="M223" s="33">
        <v>119600</v>
      </c>
    </row>
    <row r="224" spans="1:13" s="307" customFormat="1" ht="18" hidden="1" x14ac:dyDescent="0.35">
      <c r="A224" s="29"/>
      <c r="B224" s="27"/>
      <c r="C224" s="31" t="s">
        <v>51</v>
      </c>
      <c r="D224" s="34" t="s">
        <v>281</v>
      </c>
      <c r="E224" s="31" t="s">
        <v>201</v>
      </c>
      <c r="F224" s="31">
        <v>0.5</v>
      </c>
      <c r="G224" s="48">
        <v>26871.84</v>
      </c>
      <c r="H224" s="33">
        <v>13435.92</v>
      </c>
      <c r="I224" s="153"/>
      <c r="J224" s="153"/>
      <c r="K224" s="153">
        <f t="shared" si="6"/>
        <v>0</v>
      </c>
      <c r="L224" s="33"/>
    </row>
    <row r="225" spans="1:13" s="307" customFormat="1" ht="18" x14ac:dyDescent="0.35">
      <c r="A225" s="29" t="s">
        <v>127</v>
      </c>
      <c r="B225" s="30" t="s">
        <v>118</v>
      </c>
      <c r="C225" s="31" t="s">
        <v>51</v>
      </c>
      <c r="D225" s="57" t="s">
        <v>229</v>
      </c>
      <c r="E225" s="31"/>
      <c r="F225" s="31"/>
      <c r="G225" s="33"/>
      <c r="H225" s="33">
        <v>16123.103999999999</v>
      </c>
      <c r="I225" s="153">
        <v>1.61</v>
      </c>
      <c r="J225" s="153">
        <v>12.38</v>
      </c>
      <c r="K225" s="153">
        <f t="shared" si="6"/>
        <v>13.99</v>
      </c>
      <c r="L225" s="33">
        <v>139900</v>
      </c>
      <c r="M225" s="33">
        <v>139900</v>
      </c>
    </row>
    <row r="226" spans="1:13" s="307" customFormat="1" ht="18" hidden="1" x14ac:dyDescent="0.35">
      <c r="A226" s="29"/>
      <c r="B226" s="27"/>
      <c r="C226" s="31"/>
      <c r="D226" s="34" t="s">
        <v>281</v>
      </c>
      <c r="E226" s="31" t="s">
        <v>201</v>
      </c>
      <c r="F226" s="31">
        <v>0.6</v>
      </c>
      <c r="G226" s="48">
        <v>26871.84</v>
      </c>
      <c r="H226" s="33">
        <v>16123.103999999999</v>
      </c>
      <c r="I226" s="153"/>
      <c r="J226" s="153"/>
      <c r="K226" s="153">
        <f t="shared" si="6"/>
        <v>0</v>
      </c>
      <c r="L226" s="33"/>
    </row>
    <row r="227" spans="1:13" s="307" customFormat="1" ht="36" x14ac:dyDescent="0.35">
      <c r="A227" s="29" t="s">
        <v>128</v>
      </c>
      <c r="B227" s="30" t="s">
        <v>129</v>
      </c>
      <c r="C227" s="31" t="s">
        <v>51</v>
      </c>
      <c r="D227" s="34"/>
      <c r="E227" s="31"/>
      <c r="F227" s="31"/>
      <c r="G227" s="33"/>
      <c r="H227" s="33">
        <v>3081</v>
      </c>
      <c r="I227" s="153">
        <v>0.31</v>
      </c>
      <c r="J227" s="153">
        <v>7.08</v>
      </c>
      <c r="K227" s="153">
        <f t="shared" si="6"/>
        <v>7.39</v>
      </c>
      <c r="L227" s="33">
        <v>73900</v>
      </c>
      <c r="M227" s="33">
        <v>73900</v>
      </c>
    </row>
    <row r="228" spans="1:13" s="307" customFormat="1" ht="18" hidden="1" x14ac:dyDescent="0.35">
      <c r="A228" s="29"/>
      <c r="B228" s="27"/>
      <c r="C228" s="31"/>
      <c r="D228" s="34" t="s">
        <v>194</v>
      </c>
      <c r="E228" s="31" t="s">
        <v>185</v>
      </c>
      <c r="F228" s="31">
        <v>0.3</v>
      </c>
      <c r="G228" s="33">
        <v>10270</v>
      </c>
      <c r="H228" s="33">
        <v>3081</v>
      </c>
      <c r="I228" s="153"/>
      <c r="J228" s="153"/>
      <c r="K228" s="153">
        <f t="shared" si="6"/>
        <v>0</v>
      </c>
      <c r="L228" s="33"/>
    </row>
    <row r="229" spans="1:13" s="307" customFormat="1" ht="36" hidden="1" x14ac:dyDescent="0.35">
      <c r="A229" s="40" t="s">
        <v>282</v>
      </c>
      <c r="B229" s="41" t="s">
        <v>283</v>
      </c>
      <c r="C229" s="42" t="s">
        <v>51</v>
      </c>
      <c r="D229" s="43"/>
      <c r="E229" s="42"/>
      <c r="F229" s="42"/>
      <c r="G229" s="44"/>
      <c r="H229" s="44">
        <v>3081</v>
      </c>
      <c r="I229" s="154">
        <v>3100</v>
      </c>
      <c r="J229" s="154">
        <v>35400</v>
      </c>
      <c r="K229" s="153">
        <f t="shared" si="6"/>
        <v>38500</v>
      </c>
      <c r="L229" s="33">
        <v>5760</v>
      </c>
    </row>
    <row r="230" spans="1:13" s="307" customFormat="1" ht="18" hidden="1" x14ac:dyDescent="0.35">
      <c r="A230" s="40"/>
      <c r="B230" s="45"/>
      <c r="C230" s="42"/>
      <c r="D230" s="43" t="s">
        <v>194</v>
      </c>
      <c r="E230" s="42" t="s">
        <v>185</v>
      </c>
      <c r="F230" s="42">
        <v>0.3</v>
      </c>
      <c r="G230" s="44">
        <v>10270</v>
      </c>
      <c r="H230" s="44">
        <v>3081</v>
      </c>
      <c r="I230" s="154"/>
      <c r="J230" s="154"/>
      <c r="K230" s="153">
        <f t="shared" si="6"/>
        <v>0</v>
      </c>
      <c r="L230" s="33"/>
    </row>
    <row r="231" spans="1:13" s="307" customFormat="1" ht="54" hidden="1" x14ac:dyDescent="0.35">
      <c r="A231" s="40" t="s">
        <v>284</v>
      </c>
      <c r="B231" s="41" t="s">
        <v>285</v>
      </c>
      <c r="C231" s="42" t="s">
        <v>51</v>
      </c>
      <c r="D231" s="43"/>
      <c r="E231" s="42"/>
      <c r="F231" s="42"/>
      <c r="G231" s="44"/>
      <c r="H231" s="44">
        <v>3081</v>
      </c>
      <c r="I231" s="154">
        <v>3100</v>
      </c>
      <c r="J231" s="154">
        <v>53100</v>
      </c>
      <c r="K231" s="153">
        <f t="shared" si="6"/>
        <v>56200</v>
      </c>
      <c r="L231" s="33">
        <v>7680</v>
      </c>
    </row>
    <row r="232" spans="1:13" s="307" customFormat="1" ht="18" hidden="1" x14ac:dyDescent="0.35">
      <c r="A232" s="40"/>
      <c r="B232" s="45"/>
      <c r="C232" s="42"/>
      <c r="D232" s="43" t="s">
        <v>194</v>
      </c>
      <c r="E232" s="42" t="s">
        <v>185</v>
      </c>
      <c r="F232" s="42">
        <v>0.3</v>
      </c>
      <c r="G232" s="44">
        <v>10270</v>
      </c>
      <c r="H232" s="44">
        <v>3081</v>
      </c>
      <c r="I232" s="154"/>
      <c r="J232" s="154"/>
      <c r="K232" s="153">
        <f t="shared" si="6"/>
        <v>0</v>
      </c>
      <c r="L232" s="33"/>
    </row>
    <row r="233" spans="1:13" s="307" customFormat="1" ht="54" hidden="1" x14ac:dyDescent="0.35">
      <c r="A233" s="40" t="s">
        <v>286</v>
      </c>
      <c r="B233" s="41" t="s">
        <v>287</v>
      </c>
      <c r="C233" s="42" t="s">
        <v>51</v>
      </c>
      <c r="D233" s="43"/>
      <c r="E233" s="42"/>
      <c r="F233" s="42"/>
      <c r="G233" s="44"/>
      <c r="H233" s="44">
        <v>3081</v>
      </c>
      <c r="I233" s="154">
        <v>3100</v>
      </c>
      <c r="J233" s="154">
        <v>88500</v>
      </c>
      <c r="K233" s="153">
        <f t="shared" si="6"/>
        <v>91600</v>
      </c>
      <c r="L233" s="33">
        <v>11500</v>
      </c>
    </row>
    <row r="234" spans="1:13" s="307" customFormat="1" ht="28.5" hidden="1" customHeight="1" x14ac:dyDescent="0.35">
      <c r="A234" s="40"/>
      <c r="B234" s="45"/>
      <c r="C234" s="42"/>
      <c r="D234" s="43" t="s">
        <v>194</v>
      </c>
      <c r="E234" s="42" t="s">
        <v>185</v>
      </c>
      <c r="F234" s="42">
        <v>0.3</v>
      </c>
      <c r="G234" s="44">
        <v>10270</v>
      </c>
      <c r="H234" s="44">
        <v>3081</v>
      </c>
      <c r="I234" s="154"/>
      <c r="J234" s="154"/>
      <c r="K234" s="153">
        <f t="shared" si="6"/>
        <v>0</v>
      </c>
      <c r="L234" s="33"/>
    </row>
    <row r="235" spans="1:13" s="307" customFormat="1" ht="54" hidden="1" x14ac:dyDescent="0.35">
      <c r="A235" s="40" t="s">
        <v>288</v>
      </c>
      <c r="B235" s="41" t="s">
        <v>289</v>
      </c>
      <c r="C235" s="42" t="s">
        <v>51</v>
      </c>
      <c r="D235" s="43"/>
      <c r="E235" s="42"/>
      <c r="F235" s="42"/>
      <c r="G235" s="44"/>
      <c r="H235" s="44">
        <v>3081</v>
      </c>
      <c r="I235" s="154">
        <v>3100</v>
      </c>
      <c r="J235" s="154">
        <v>106100</v>
      </c>
      <c r="K235" s="153">
        <f t="shared" si="6"/>
        <v>109200</v>
      </c>
      <c r="L235" s="33">
        <v>15330</v>
      </c>
    </row>
    <row r="236" spans="1:13" s="307" customFormat="1" ht="18" hidden="1" x14ac:dyDescent="0.35">
      <c r="A236" s="40"/>
      <c r="B236" s="45"/>
      <c r="C236" s="42"/>
      <c r="D236" s="43" t="s">
        <v>194</v>
      </c>
      <c r="E236" s="42" t="s">
        <v>185</v>
      </c>
      <c r="F236" s="42">
        <v>0.3</v>
      </c>
      <c r="G236" s="44">
        <v>10270</v>
      </c>
      <c r="H236" s="44">
        <v>3081</v>
      </c>
      <c r="I236" s="154"/>
      <c r="J236" s="154"/>
      <c r="K236" s="153">
        <f t="shared" si="6"/>
        <v>0</v>
      </c>
      <c r="L236" s="33"/>
    </row>
    <row r="237" spans="1:13" s="307" customFormat="1" ht="18" x14ac:dyDescent="0.35">
      <c r="A237" s="29" t="s">
        <v>130</v>
      </c>
      <c r="B237" s="30" t="s">
        <v>131</v>
      </c>
      <c r="C237" s="31" t="s">
        <v>51</v>
      </c>
      <c r="D237" s="34"/>
      <c r="E237" s="31"/>
      <c r="F237" s="31"/>
      <c r="G237" s="33"/>
      <c r="H237" s="33">
        <v>1121.5999999999999</v>
      </c>
      <c r="I237" s="153">
        <v>0.11</v>
      </c>
      <c r="J237" s="153">
        <v>1.42</v>
      </c>
      <c r="K237" s="153">
        <f t="shared" si="6"/>
        <v>1.53</v>
      </c>
      <c r="L237" s="33">
        <v>15300</v>
      </c>
      <c r="M237" s="33">
        <v>15300</v>
      </c>
    </row>
    <row r="238" spans="1:13" s="307" customFormat="1" ht="18" hidden="1" x14ac:dyDescent="0.35">
      <c r="A238" s="29"/>
      <c r="B238" s="27"/>
      <c r="C238" s="31"/>
      <c r="D238" s="39" t="s">
        <v>290</v>
      </c>
      <c r="E238" s="38" t="s">
        <v>291</v>
      </c>
      <c r="F238" s="67" t="s">
        <v>292</v>
      </c>
      <c r="G238" s="33">
        <v>941</v>
      </c>
      <c r="H238" s="33">
        <v>941</v>
      </c>
      <c r="I238" s="153"/>
      <c r="J238" s="153"/>
      <c r="K238" s="153">
        <f t="shared" si="6"/>
        <v>0</v>
      </c>
      <c r="L238" s="33"/>
    </row>
    <row r="239" spans="1:13" s="307" customFormat="1" ht="18" hidden="1" x14ac:dyDescent="0.35">
      <c r="A239" s="29"/>
      <c r="B239" s="27"/>
      <c r="C239" s="31"/>
      <c r="D239" s="39" t="s">
        <v>293</v>
      </c>
      <c r="E239" s="38" t="s">
        <v>185</v>
      </c>
      <c r="F239" s="67" t="s">
        <v>292</v>
      </c>
      <c r="G239" s="33">
        <v>180.6</v>
      </c>
      <c r="H239" s="33">
        <v>180.6</v>
      </c>
      <c r="I239" s="153"/>
      <c r="J239" s="153"/>
      <c r="K239" s="153">
        <f t="shared" si="6"/>
        <v>0</v>
      </c>
      <c r="L239" s="33"/>
    </row>
    <row r="240" spans="1:13" s="307" customFormat="1" ht="36" x14ac:dyDescent="0.35">
      <c r="A240" s="29" t="s">
        <v>119</v>
      </c>
      <c r="B240" s="30" t="s">
        <v>132</v>
      </c>
      <c r="C240" s="31"/>
      <c r="D240" s="34"/>
      <c r="E240" s="31"/>
      <c r="F240" s="31"/>
      <c r="G240" s="33"/>
      <c r="H240" s="33"/>
      <c r="I240" s="153"/>
      <c r="J240" s="153"/>
      <c r="K240" s="153"/>
      <c r="L240" s="33"/>
      <c r="M240" s="326"/>
    </row>
    <row r="241" spans="1:13" s="307" customFormat="1" ht="18" x14ac:dyDescent="0.35">
      <c r="A241" s="36" t="s">
        <v>120</v>
      </c>
      <c r="B241" s="65" t="s">
        <v>294</v>
      </c>
      <c r="C241" s="38" t="s">
        <v>51</v>
      </c>
      <c r="D241" s="39"/>
      <c r="E241" s="38"/>
      <c r="F241" s="38"/>
      <c r="G241" s="61"/>
      <c r="H241" s="61">
        <v>5472.7391666666663</v>
      </c>
      <c r="I241" s="155">
        <v>1.61</v>
      </c>
      <c r="J241" s="155">
        <v>2.83</v>
      </c>
      <c r="K241" s="153">
        <f t="shared" si="6"/>
        <v>4.4400000000000004</v>
      </c>
      <c r="L241" s="61">
        <v>44400</v>
      </c>
      <c r="M241" s="61">
        <v>44400</v>
      </c>
    </row>
    <row r="242" spans="1:13" s="307" customFormat="1" ht="18" hidden="1" x14ac:dyDescent="0.35">
      <c r="A242" s="40"/>
      <c r="B242" s="45"/>
      <c r="C242" s="42"/>
      <c r="D242" s="43" t="s">
        <v>198</v>
      </c>
      <c r="E242" s="42" t="s">
        <v>185</v>
      </c>
      <c r="F242" s="42">
        <v>0.1</v>
      </c>
      <c r="G242" s="44">
        <v>4320</v>
      </c>
      <c r="H242" s="44">
        <v>432</v>
      </c>
      <c r="I242" s="154"/>
      <c r="J242" s="154"/>
      <c r="K242" s="153">
        <f t="shared" si="6"/>
        <v>0</v>
      </c>
      <c r="L242" s="33"/>
    </row>
    <row r="243" spans="1:13" s="307" customFormat="1" ht="31.8" hidden="1" x14ac:dyDescent="0.35">
      <c r="A243" s="40"/>
      <c r="B243" s="45"/>
      <c r="C243" s="42"/>
      <c r="D243" s="43" t="s">
        <v>199</v>
      </c>
      <c r="E243" s="42" t="s">
        <v>185</v>
      </c>
      <c r="F243" s="42">
        <v>0.2</v>
      </c>
      <c r="G243" s="44">
        <v>1320</v>
      </c>
      <c r="H243" s="44">
        <v>264</v>
      </c>
      <c r="I243" s="154"/>
      <c r="J243" s="154"/>
      <c r="K243" s="153">
        <f t="shared" si="6"/>
        <v>0</v>
      </c>
      <c r="L243" s="33"/>
    </row>
    <row r="244" spans="1:13" s="307" customFormat="1" ht="31.8" hidden="1" x14ac:dyDescent="0.35">
      <c r="A244" s="40"/>
      <c r="B244" s="45"/>
      <c r="C244" s="42"/>
      <c r="D244" s="43" t="s">
        <v>200</v>
      </c>
      <c r="E244" s="42" t="s">
        <v>201</v>
      </c>
      <c r="F244" s="42">
        <v>0.2</v>
      </c>
      <c r="G244" s="44">
        <v>248.96666666666667</v>
      </c>
      <c r="H244" s="44">
        <v>49.793333333333337</v>
      </c>
      <c r="I244" s="154"/>
      <c r="J244" s="154"/>
      <c r="K244" s="153">
        <f t="shared" si="6"/>
        <v>0</v>
      </c>
      <c r="L244" s="33"/>
    </row>
    <row r="245" spans="1:13" s="307" customFormat="1" ht="28.5" hidden="1" customHeight="1" x14ac:dyDescent="0.35">
      <c r="A245" s="40"/>
      <c r="B245" s="45"/>
      <c r="C245" s="42"/>
      <c r="D245" s="43" t="s">
        <v>194</v>
      </c>
      <c r="E245" s="42" t="s">
        <v>185</v>
      </c>
      <c r="F245" s="42">
        <v>0.2</v>
      </c>
      <c r="G245" s="44">
        <v>10270</v>
      </c>
      <c r="H245" s="44">
        <v>2054</v>
      </c>
      <c r="I245" s="154"/>
      <c r="J245" s="154"/>
      <c r="K245" s="153">
        <f t="shared" si="6"/>
        <v>0</v>
      </c>
      <c r="L245" s="33"/>
    </row>
    <row r="246" spans="1:13" s="307" customFormat="1" ht="43.2" hidden="1" customHeight="1" x14ac:dyDescent="0.35">
      <c r="A246" s="40"/>
      <c r="B246" s="45"/>
      <c r="C246" s="42"/>
      <c r="D246" s="43" t="s">
        <v>195</v>
      </c>
      <c r="E246" s="42" t="s">
        <v>185</v>
      </c>
      <c r="F246" s="42">
        <v>0.2</v>
      </c>
      <c r="G246" s="44">
        <v>3100</v>
      </c>
      <c r="H246" s="44">
        <v>620</v>
      </c>
      <c r="I246" s="154"/>
      <c r="J246" s="154"/>
      <c r="K246" s="153">
        <f t="shared" si="6"/>
        <v>0</v>
      </c>
      <c r="L246" s="33"/>
    </row>
    <row r="247" spans="1:13" s="307" customFormat="1" ht="39.75" hidden="1" customHeight="1" x14ac:dyDescent="0.35">
      <c r="A247" s="40"/>
      <c r="B247" s="45"/>
      <c r="C247" s="42"/>
      <c r="D247" s="43" t="s">
        <v>196</v>
      </c>
      <c r="E247" s="42" t="s">
        <v>185</v>
      </c>
      <c r="F247" s="42">
        <v>0.1</v>
      </c>
      <c r="G247" s="44">
        <v>8400</v>
      </c>
      <c r="H247" s="44">
        <v>840</v>
      </c>
      <c r="I247" s="154"/>
      <c r="J247" s="154"/>
      <c r="K247" s="153">
        <f t="shared" si="6"/>
        <v>0</v>
      </c>
      <c r="L247" s="33"/>
    </row>
    <row r="248" spans="1:13" s="307" customFormat="1" ht="18" hidden="1" x14ac:dyDescent="0.35">
      <c r="A248" s="40"/>
      <c r="B248" s="45"/>
      <c r="C248" s="42"/>
      <c r="D248" s="43" t="s">
        <v>197</v>
      </c>
      <c r="E248" s="42" t="s">
        <v>185</v>
      </c>
      <c r="F248" s="42">
        <v>0.1</v>
      </c>
      <c r="G248" s="44">
        <v>3100</v>
      </c>
      <c r="H248" s="44">
        <v>310</v>
      </c>
      <c r="I248" s="154"/>
      <c r="J248" s="154"/>
      <c r="K248" s="153">
        <f t="shared" si="6"/>
        <v>0</v>
      </c>
      <c r="L248" s="33"/>
    </row>
    <row r="249" spans="1:13" s="307" customFormat="1" ht="18" hidden="1" x14ac:dyDescent="0.35">
      <c r="A249" s="40"/>
      <c r="B249" s="45"/>
      <c r="C249" s="42"/>
      <c r="D249" s="43" t="s">
        <v>203</v>
      </c>
      <c r="E249" s="42" t="s">
        <v>185</v>
      </c>
      <c r="F249" s="42">
        <v>1</v>
      </c>
      <c r="G249" s="44">
        <v>399.46666666666664</v>
      </c>
      <c r="H249" s="44">
        <v>399.46666666666664</v>
      </c>
      <c r="I249" s="154"/>
      <c r="J249" s="154"/>
      <c r="K249" s="153">
        <f t="shared" si="6"/>
        <v>0</v>
      </c>
      <c r="L249" s="33"/>
    </row>
    <row r="250" spans="1:13" s="307" customFormat="1" ht="18" hidden="1" x14ac:dyDescent="0.35">
      <c r="A250" s="40"/>
      <c r="B250" s="45"/>
      <c r="C250" s="42"/>
      <c r="D250" s="43" t="s">
        <v>204</v>
      </c>
      <c r="E250" s="42" t="s">
        <v>185</v>
      </c>
      <c r="F250" s="42">
        <v>0.25</v>
      </c>
      <c r="G250" s="44">
        <v>2013.9166666666667</v>
      </c>
      <c r="H250" s="44">
        <v>503.47916666666669</v>
      </c>
      <c r="I250" s="154"/>
      <c r="J250" s="154"/>
      <c r="K250" s="153">
        <f t="shared" si="6"/>
        <v>0</v>
      </c>
      <c r="L250" s="33"/>
    </row>
    <row r="251" spans="1:13" s="307" customFormat="1" ht="18" x14ac:dyDescent="0.35">
      <c r="A251" s="29" t="s">
        <v>276</v>
      </c>
      <c r="B251" s="30" t="s">
        <v>133</v>
      </c>
      <c r="C251" s="31" t="s">
        <v>51</v>
      </c>
      <c r="D251" s="34"/>
      <c r="E251" s="31"/>
      <c r="F251" s="31"/>
      <c r="G251" s="33"/>
      <c r="H251" s="33">
        <v>6709.9849999999997</v>
      </c>
      <c r="I251" s="153">
        <v>0.67</v>
      </c>
      <c r="J251" s="153">
        <v>5.31</v>
      </c>
      <c r="K251" s="153">
        <f t="shared" si="6"/>
        <v>5.9799999999999995</v>
      </c>
      <c r="L251" s="33">
        <v>59800</v>
      </c>
      <c r="M251" s="33">
        <v>59800</v>
      </c>
    </row>
    <row r="252" spans="1:13" s="307" customFormat="1" ht="18" hidden="1" x14ac:dyDescent="0.35">
      <c r="A252" s="29"/>
      <c r="B252" s="27"/>
      <c r="C252" s="31"/>
      <c r="D252" s="34" t="s">
        <v>198</v>
      </c>
      <c r="E252" s="31" t="s">
        <v>185</v>
      </c>
      <c r="F252" s="31">
        <v>0.1</v>
      </c>
      <c r="G252" s="33">
        <v>4320</v>
      </c>
      <c r="H252" s="33">
        <v>432</v>
      </c>
      <c r="I252" s="153"/>
      <c r="J252" s="153"/>
      <c r="K252" s="153">
        <f t="shared" si="6"/>
        <v>0</v>
      </c>
      <c r="L252" s="33"/>
    </row>
    <row r="253" spans="1:13" s="307" customFormat="1" ht="38.4" hidden="1" customHeight="1" x14ac:dyDescent="0.35">
      <c r="A253" s="29"/>
      <c r="B253" s="27"/>
      <c r="C253" s="31"/>
      <c r="D253" s="34" t="s">
        <v>199</v>
      </c>
      <c r="E253" s="31" t="s">
        <v>185</v>
      </c>
      <c r="F253" s="31">
        <v>0.2</v>
      </c>
      <c r="G253" s="33">
        <v>1320</v>
      </c>
      <c r="H253" s="33">
        <v>264</v>
      </c>
      <c r="I253" s="153"/>
      <c r="J253" s="153"/>
      <c r="K253" s="153">
        <f t="shared" si="6"/>
        <v>0</v>
      </c>
      <c r="L253" s="33"/>
    </row>
    <row r="254" spans="1:13" s="307" customFormat="1" ht="31.8" hidden="1" x14ac:dyDescent="0.35">
      <c r="A254" s="29"/>
      <c r="B254" s="27"/>
      <c r="C254" s="31"/>
      <c r="D254" s="34" t="s">
        <v>200</v>
      </c>
      <c r="E254" s="31" t="s">
        <v>201</v>
      </c>
      <c r="F254" s="31">
        <v>0.2</v>
      </c>
      <c r="G254" s="33">
        <v>248.96666666666667</v>
      </c>
      <c r="H254" s="33">
        <v>49.793333333333337</v>
      </c>
      <c r="I254" s="153"/>
      <c r="J254" s="153"/>
      <c r="K254" s="153">
        <f t="shared" si="6"/>
        <v>0</v>
      </c>
      <c r="L254" s="33"/>
    </row>
    <row r="255" spans="1:13" s="307" customFormat="1" ht="18" hidden="1" x14ac:dyDescent="0.35">
      <c r="A255" s="29"/>
      <c r="B255" s="27"/>
      <c r="C255" s="31"/>
      <c r="D255" s="34" t="s">
        <v>194</v>
      </c>
      <c r="E255" s="31" t="s">
        <v>185</v>
      </c>
      <c r="F255" s="31">
        <v>0.2</v>
      </c>
      <c r="G255" s="33">
        <v>10270</v>
      </c>
      <c r="H255" s="33">
        <v>2054</v>
      </c>
      <c r="I255" s="153"/>
      <c r="J255" s="153"/>
      <c r="K255" s="153">
        <f t="shared" si="6"/>
        <v>0</v>
      </c>
      <c r="L255" s="33"/>
    </row>
    <row r="256" spans="1:13" s="307" customFormat="1" ht="34.200000000000003" hidden="1" customHeight="1" x14ac:dyDescent="0.35">
      <c r="A256" s="29"/>
      <c r="B256" s="27"/>
      <c r="C256" s="31"/>
      <c r="D256" s="34" t="s">
        <v>195</v>
      </c>
      <c r="E256" s="31" t="s">
        <v>185</v>
      </c>
      <c r="F256" s="31">
        <v>0.1</v>
      </c>
      <c r="G256" s="33">
        <v>3100</v>
      </c>
      <c r="H256" s="33">
        <v>310</v>
      </c>
      <c r="I256" s="153"/>
      <c r="J256" s="153"/>
      <c r="K256" s="153">
        <f t="shared" si="6"/>
        <v>0</v>
      </c>
      <c r="L256" s="33"/>
    </row>
    <row r="257" spans="1:13" s="307" customFormat="1" ht="32.4" hidden="1" customHeight="1" x14ac:dyDescent="0.35">
      <c r="A257" s="29"/>
      <c r="B257" s="27"/>
      <c r="C257" s="31"/>
      <c r="D257" s="34" t="s">
        <v>196</v>
      </c>
      <c r="E257" s="31" t="s">
        <v>185</v>
      </c>
      <c r="F257" s="31">
        <v>0.2</v>
      </c>
      <c r="G257" s="33">
        <v>8400</v>
      </c>
      <c r="H257" s="33">
        <v>1680</v>
      </c>
      <c r="I257" s="153"/>
      <c r="J257" s="153"/>
      <c r="K257" s="153">
        <f t="shared" si="6"/>
        <v>0</v>
      </c>
      <c r="L257" s="33"/>
    </row>
    <row r="258" spans="1:13" s="307" customFormat="1" ht="18" hidden="1" x14ac:dyDescent="0.35">
      <c r="A258" s="29"/>
      <c r="B258" s="27"/>
      <c r="C258" s="31"/>
      <c r="D258" s="34" t="s">
        <v>197</v>
      </c>
      <c r="E258" s="31" t="s">
        <v>185</v>
      </c>
      <c r="F258" s="31">
        <v>0.1</v>
      </c>
      <c r="G258" s="33">
        <v>3100</v>
      </c>
      <c r="H258" s="33">
        <v>310</v>
      </c>
      <c r="I258" s="153"/>
      <c r="J258" s="153"/>
      <c r="K258" s="153">
        <f t="shared" si="6"/>
        <v>0</v>
      </c>
      <c r="L258" s="33"/>
    </row>
    <row r="259" spans="1:13" s="307" customFormat="1" ht="18" hidden="1" x14ac:dyDescent="0.35">
      <c r="A259" s="29"/>
      <c r="B259" s="27"/>
      <c r="C259" s="31"/>
      <c r="D259" s="34" t="s">
        <v>203</v>
      </c>
      <c r="E259" s="31" t="s">
        <v>185</v>
      </c>
      <c r="F259" s="31">
        <v>1</v>
      </c>
      <c r="G259" s="33">
        <v>1024.7750000000001</v>
      </c>
      <c r="H259" s="33">
        <v>1024.7750000000001</v>
      </c>
      <c r="I259" s="153"/>
      <c r="J259" s="153"/>
      <c r="K259" s="153">
        <f t="shared" si="6"/>
        <v>0</v>
      </c>
      <c r="L259" s="33"/>
    </row>
    <row r="260" spans="1:13" s="307" customFormat="1" ht="18" hidden="1" x14ac:dyDescent="0.35">
      <c r="A260" s="29"/>
      <c r="B260" s="27"/>
      <c r="C260" s="31"/>
      <c r="D260" s="34" t="s">
        <v>204</v>
      </c>
      <c r="E260" s="31" t="s">
        <v>185</v>
      </c>
      <c r="F260" s="31">
        <v>0.25</v>
      </c>
      <c r="G260" s="48">
        <v>2341.6666666666665</v>
      </c>
      <c r="H260" s="33">
        <v>585.41666666666663</v>
      </c>
      <c r="I260" s="153"/>
      <c r="J260" s="153"/>
      <c r="K260" s="153">
        <f t="shared" si="6"/>
        <v>0</v>
      </c>
      <c r="L260" s="33"/>
    </row>
    <row r="261" spans="1:13" s="307" customFormat="1" ht="36" x14ac:dyDescent="0.35">
      <c r="A261" s="29" t="s">
        <v>134</v>
      </c>
      <c r="B261" s="30" t="s">
        <v>135</v>
      </c>
      <c r="C261" s="31" t="s">
        <v>51</v>
      </c>
      <c r="D261" s="34"/>
      <c r="E261" s="31"/>
      <c r="F261" s="31"/>
      <c r="G261" s="33"/>
      <c r="H261" s="33">
        <v>5374.7933333333331</v>
      </c>
      <c r="I261" s="153">
        <v>0.54</v>
      </c>
      <c r="J261" s="153">
        <v>3.54</v>
      </c>
      <c r="K261" s="153">
        <f>I261+J261</f>
        <v>4.08</v>
      </c>
      <c r="L261" s="33">
        <v>40800</v>
      </c>
      <c r="M261" s="33">
        <v>40800</v>
      </c>
    </row>
    <row r="262" spans="1:13" s="307" customFormat="1" ht="18" hidden="1" x14ac:dyDescent="0.35">
      <c r="A262" s="29"/>
      <c r="B262" s="27"/>
      <c r="C262" s="31"/>
      <c r="D262" s="34" t="s">
        <v>198</v>
      </c>
      <c r="E262" s="31" t="s">
        <v>185</v>
      </c>
      <c r="F262" s="31">
        <v>0.1</v>
      </c>
      <c r="G262" s="33">
        <v>4320</v>
      </c>
      <c r="H262" s="33">
        <f t="shared" ref="H262:H268" si="7">G262*F262</f>
        <v>432</v>
      </c>
      <c r="I262" s="33"/>
      <c r="J262" s="33"/>
      <c r="K262" s="33">
        <f t="shared" ref="K262:K273" si="8">J262+I262</f>
        <v>0</v>
      </c>
      <c r="L262" s="33"/>
    </row>
    <row r="263" spans="1:13" s="307" customFormat="1" ht="39.6" hidden="1" customHeight="1" x14ac:dyDescent="0.35">
      <c r="A263" s="29"/>
      <c r="B263" s="27"/>
      <c r="C263" s="31"/>
      <c r="D263" s="34" t="s">
        <v>199</v>
      </c>
      <c r="E263" s="31" t="s">
        <v>185</v>
      </c>
      <c r="F263" s="31">
        <v>0.2</v>
      </c>
      <c r="G263" s="33">
        <v>1320</v>
      </c>
      <c r="H263" s="33">
        <f t="shared" si="7"/>
        <v>264</v>
      </c>
      <c r="I263" s="33"/>
      <c r="J263" s="33"/>
      <c r="K263" s="33">
        <f t="shared" si="8"/>
        <v>0</v>
      </c>
      <c r="L263" s="33"/>
    </row>
    <row r="264" spans="1:13" s="307" customFormat="1" ht="31.8" hidden="1" x14ac:dyDescent="0.35">
      <c r="A264" s="29"/>
      <c r="B264" s="27"/>
      <c r="C264" s="31"/>
      <c r="D264" s="34" t="s">
        <v>200</v>
      </c>
      <c r="E264" s="31" t="s">
        <v>201</v>
      </c>
      <c r="F264" s="31">
        <v>0.2</v>
      </c>
      <c r="G264" s="33">
        <f>29876/120</f>
        <v>248.96666666666667</v>
      </c>
      <c r="H264" s="33">
        <f t="shared" si="7"/>
        <v>49.793333333333337</v>
      </c>
      <c r="I264" s="33"/>
      <c r="J264" s="33"/>
      <c r="K264" s="33">
        <f t="shared" si="8"/>
        <v>0</v>
      </c>
      <c r="L264" s="33"/>
    </row>
    <row r="265" spans="1:13" s="307" customFormat="1" ht="18" hidden="1" x14ac:dyDescent="0.35">
      <c r="A265" s="29"/>
      <c r="B265" s="27"/>
      <c r="C265" s="31"/>
      <c r="D265" s="34" t="s">
        <v>194</v>
      </c>
      <c r="E265" s="31" t="s">
        <v>185</v>
      </c>
      <c r="F265" s="31">
        <v>0.2</v>
      </c>
      <c r="G265" s="33">
        <v>10270</v>
      </c>
      <c r="H265" s="33">
        <f t="shared" si="7"/>
        <v>2054</v>
      </c>
      <c r="I265" s="33"/>
      <c r="J265" s="33"/>
      <c r="K265" s="33">
        <f t="shared" si="8"/>
        <v>0</v>
      </c>
      <c r="L265" s="33"/>
    </row>
    <row r="266" spans="1:13" s="307" customFormat="1" ht="31.8" hidden="1" x14ac:dyDescent="0.35">
      <c r="A266" s="29"/>
      <c r="B266" s="27"/>
      <c r="C266" s="31"/>
      <c r="D266" s="34" t="s">
        <v>195</v>
      </c>
      <c r="E266" s="31" t="s">
        <v>185</v>
      </c>
      <c r="F266" s="31">
        <v>0.1</v>
      </c>
      <c r="G266" s="33">
        <v>3100</v>
      </c>
      <c r="H266" s="33">
        <f t="shared" si="7"/>
        <v>310</v>
      </c>
      <c r="I266" s="33"/>
      <c r="J266" s="33"/>
      <c r="K266" s="33">
        <f t="shared" si="8"/>
        <v>0</v>
      </c>
      <c r="L266" s="33"/>
    </row>
    <row r="267" spans="1:13" s="307" customFormat="1" ht="31.8" hidden="1" x14ac:dyDescent="0.35">
      <c r="A267" s="29"/>
      <c r="B267" s="27"/>
      <c r="C267" s="31"/>
      <c r="D267" s="34" t="s">
        <v>196</v>
      </c>
      <c r="E267" s="31" t="s">
        <v>185</v>
      </c>
      <c r="F267" s="31">
        <v>0.2</v>
      </c>
      <c r="G267" s="33">
        <v>8400</v>
      </c>
      <c r="H267" s="33">
        <f t="shared" si="7"/>
        <v>1680</v>
      </c>
      <c r="I267" s="33"/>
      <c r="J267" s="33"/>
      <c r="K267" s="33">
        <f t="shared" si="8"/>
        <v>0</v>
      </c>
      <c r="L267" s="33"/>
    </row>
    <row r="268" spans="1:13" s="307" customFormat="1" ht="18" hidden="1" x14ac:dyDescent="0.35">
      <c r="A268" s="29"/>
      <c r="B268" s="27"/>
      <c r="C268" s="31"/>
      <c r="D268" s="34" t="s">
        <v>295</v>
      </c>
      <c r="E268" s="31" t="s">
        <v>185</v>
      </c>
      <c r="F268" s="31">
        <v>0.1</v>
      </c>
      <c r="G268" s="33">
        <v>5850</v>
      </c>
      <c r="H268" s="33">
        <f t="shared" si="7"/>
        <v>585</v>
      </c>
      <c r="I268" s="33"/>
      <c r="J268" s="33"/>
      <c r="K268" s="33">
        <f t="shared" si="8"/>
        <v>0</v>
      </c>
      <c r="L268" s="33"/>
    </row>
    <row r="269" spans="1:13" s="307" customFormat="1" ht="36" hidden="1" x14ac:dyDescent="0.35">
      <c r="A269" s="40" t="s">
        <v>296</v>
      </c>
      <c r="B269" s="41" t="s">
        <v>297</v>
      </c>
      <c r="C269" s="53" t="s">
        <v>298</v>
      </c>
      <c r="D269" s="54" t="s">
        <v>299</v>
      </c>
      <c r="E269" s="42"/>
      <c r="F269" s="42"/>
      <c r="G269" s="44"/>
      <c r="H269" s="44">
        <f>H270</f>
        <v>716</v>
      </c>
      <c r="I269" s="44">
        <v>700</v>
      </c>
      <c r="J269" s="44">
        <f>[3]Лист2!S78</f>
        <v>35400</v>
      </c>
      <c r="K269" s="44">
        <f t="shared" si="8"/>
        <v>36100</v>
      </c>
      <c r="L269" s="44">
        <v>4550</v>
      </c>
    </row>
    <row r="270" spans="1:13" s="307" customFormat="1" ht="20.399999999999999" hidden="1" customHeight="1" x14ac:dyDescent="0.35">
      <c r="A270" s="40"/>
      <c r="B270" s="45"/>
      <c r="C270" s="42"/>
      <c r="D270" s="43" t="s">
        <v>300</v>
      </c>
      <c r="E270" s="42" t="s">
        <v>192</v>
      </c>
      <c r="F270" s="42">
        <v>2</v>
      </c>
      <c r="G270" s="44">
        <v>358</v>
      </c>
      <c r="H270" s="44">
        <f>G270*F270</f>
        <v>716</v>
      </c>
      <c r="I270" s="44"/>
      <c r="J270" s="44"/>
      <c r="K270" s="44">
        <f t="shared" si="8"/>
        <v>0</v>
      </c>
      <c r="L270" s="44"/>
    </row>
    <row r="271" spans="1:13" s="307" customFormat="1" ht="35.4" hidden="1" x14ac:dyDescent="0.35">
      <c r="A271" s="40"/>
      <c r="B271" s="45"/>
      <c r="C271" s="53" t="s">
        <v>301</v>
      </c>
      <c r="D271" s="54" t="s">
        <v>302</v>
      </c>
      <c r="E271" s="42"/>
      <c r="F271" s="42"/>
      <c r="G271" s="44"/>
      <c r="H271" s="44">
        <f>H272</f>
        <v>152</v>
      </c>
      <c r="I271" s="44">
        <v>150</v>
      </c>
      <c r="J271" s="44">
        <f>J269</f>
        <v>35400</v>
      </c>
      <c r="K271" s="44">
        <f t="shared" si="8"/>
        <v>35550</v>
      </c>
      <c r="L271" s="44">
        <v>3980</v>
      </c>
    </row>
    <row r="272" spans="1:13" s="307" customFormat="1" ht="18" hidden="1" x14ac:dyDescent="0.35">
      <c r="A272" s="40"/>
      <c r="B272" s="45"/>
      <c r="C272" s="42"/>
      <c r="D272" s="43" t="s">
        <v>300</v>
      </c>
      <c r="E272" s="42" t="s">
        <v>192</v>
      </c>
      <c r="F272" s="42">
        <v>2</v>
      </c>
      <c r="G272" s="44">
        <v>76</v>
      </c>
      <c r="H272" s="44">
        <f>G272*F272</f>
        <v>152</v>
      </c>
      <c r="I272" s="44"/>
      <c r="J272" s="44"/>
      <c r="K272" s="44">
        <f t="shared" si="8"/>
        <v>0</v>
      </c>
      <c r="L272" s="44"/>
    </row>
    <row r="273" spans="1:12" s="307" customFormat="1" ht="36" hidden="1" x14ac:dyDescent="0.35">
      <c r="A273" s="40" t="s">
        <v>303</v>
      </c>
      <c r="B273" s="41" t="s">
        <v>304</v>
      </c>
      <c r="C273" s="53" t="s">
        <v>298</v>
      </c>
      <c r="D273" s="54" t="s">
        <v>299</v>
      </c>
      <c r="E273" s="42" t="s">
        <v>192</v>
      </c>
      <c r="F273" s="42">
        <v>2</v>
      </c>
      <c r="G273" s="44">
        <v>358</v>
      </c>
      <c r="H273" s="44">
        <f>H274</f>
        <v>716</v>
      </c>
      <c r="I273" s="44">
        <v>700</v>
      </c>
      <c r="J273" s="44">
        <f>[3]Лист2!S79</f>
        <v>53100</v>
      </c>
      <c r="K273" s="44">
        <f t="shared" si="8"/>
        <v>53800</v>
      </c>
      <c r="L273" s="44">
        <v>2630</v>
      </c>
    </row>
    <row r="274" spans="1:12" s="55" customFormat="1" ht="15.75" hidden="1" customHeight="1" x14ac:dyDescent="0.35">
      <c r="A274" s="40"/>
      <c r="B274" s="41"/>
      <c r="C274" s="42"/>
      <c r="D274" s="43" t="s">
        <v>305</v>
      </c>
      <c r="E274" s="42" t="s">
        <v>192</v>
      </c>
      <c r="F274" s="42">
        <v>2</v>
      </c>
      <c r="G274" s="44">
        <v>358</v>
      </c>
      <c r="H274" s="44">
        <f>G274*F274</f>
        <v>716</v>
      </c>
      <c r="I274" s="44"/>
      <c r="J274" s="44"/>
      <c r="K274" s="44"/>
      <c r="L274" s="44"/>
    </row>
    <row r="275" spans="1:12" s="55" customFormat="1" ht="35.4" hidden="1" x14ac:dyDescent="0.35">
      <c r="A275" s="40"/>
      <c r="B275" s="45"/>
      <c r="C275" s="53" t="s">
        <v>301</v>
      </c>
      <c r="D275" s="54" t="s">
        <v>302</v>
      </c>
      <c r="E275" s="42"/>
      <c r="F275" s="42"/>
      <c r="G275" s="44"/>
      <c r="H275" s="44">
        <f>H276</f>
        <v>152</v>
      </c>
      <c r="I275" s="44"/>
      <c r="J275" s="44">
        <v>2310</v>
      </c>
      <c r="K275" s="44">
        <f>J275+H275</f>
        <v>2462</v>
      </c>
      <c r="L275" s="44">
        <v>2460</v>
      </c>
    </row>
    <row r="276" spans="1:12" s="55" customFormat="1" ht="91.5" hidden="1" customHeight="1" x14ac:dyDescent="0.35">
      <c r="A276" s="40"/>
      <c r="B276" s="45"/>
      <c r="C276" s="42"/>
      <c r="D276" s="43" t="s">
        <v>305</v>
      </c>
      <c r="E276" s="42" t="s">
        <v>192</v>
      </c>
      <c r="F276" s="42">
        <v>2</v>
      </c>
      <c r="G276" s="44">
        <v>76</v>
      </c>
      <c r="H276" s="44">
        <f>G276*F276</f>
        <v>152</v>
      </c>
      <c r="I276" s="44"/>
      <c r="J276" s="44"/>
      <c r="K276" s="44"/>
      <c r="L276" s="44"/>
    </row>
    <row r="277" spans="1:12" ht="18" hidden="1" x14ac:dyDescent="0.25">
      <c r="A277" s="40">
        <v>3</v>
      </c>
      <c r="B277" s="435" t="s">
        <v>306</v>
      </c>
      <c r="C277" s="436"/>
      <c r="D277" s="436"/>
      <c r="E277" s="436"/>
      <c r="F277" s="436"/>
      <c r="G277" s="436"/>
      <c r="H277" s="436"/>
      <c r="I277" s="436"/>
      <c r="J277" s="436"/>
      <c r="K277" s="436"/>
      <c r="L277" s="437"/>
    </row>
    <row r="278" spans="1:12" ht="52.5" hidden="1" customHeight="1" x14ac:dyDescent="0.35">
      <c r="A278" s="40" t="s">
        <v>307</v>
      </c>
      <c r="B278" s="41" t="s">
        <v>308</v>
      </c>
      <c r="C278" s="45" t="s">
        <v>309</v>
      </c>
      <c r="D278" s="50"/>
      <c r="E278" s="45"/>
      <c r="F278" s="42"/>
      <c r="G278" s="42"/>
      <c r="H278" s="68">
        <f>H279+H280</f>
        <v>0</v>
      </c>
      <c r="I278" s="68"/>
      <c r="J278" s="51">
        <v>1000</v>
      </c>
      <c r="K278" s="69">
        <f>J278+H278</f>
        <v>1000</v>
      </c>
      <c r="L278" s="44">
        <v>1090</v>
      </c>
    </row>
    <row r="279" spans="1:12" ht="32.25" hidden="1" customHeight="1" x14ac:dyDescent="0.35">
      <c r="A279" s="70"/>
      <c r="B279" s="71"/>
      <c r="C279" s="72"/>
      <c r="D279" s="50" t="s">
        <v>310</v>
      </c>
      <c r="E279" s="72" t="s">
        <v>201</v>
      </c>
      <c r="F279" s="73">
        <v>1</v>
      </c>
      <c r="G279" s="73">
        <v>0</v>
      </c>
      <c r="H279" s="74">
        <f>G279*F279</f>
        <v>0</v>
      </c>
      <c r="I279" s="74"/>
      <c r="J279" s="75"/>
      <c r="K279" s="75"/>
      <c r="L279" s="76"/>
    </row>
    <row r="280" spans="1:12" ht="16.5" hidden="1" customHeight="1" x14ac:dyDescent="0.35">
      <c r="A280" s="70"/>
      <c r="B280" s="71"/>
      <c r="C280" s="72"/>
      <c r="D280" s="50" t="s">
        <v>311</v>
      </c>
      <c r="E280" s="72" t="s">
        <v>185</v>
      </c>
      <c r="F280" s="73">
        <v>1</v>
      </c>
      <c r="G280" s="73">
        <v>0</v>
      </c>
      <c r="H280" s="74">
        <f>G280*F280</f>
        <v>0</v>
      </c>
      <c r="I280" s="74"/>
      <c r="J280" s="75"/>
      <c r="K280" s="75"/>
      <c r="L280" s="76"/>
    </row>
    <row r="281" spans="1:12" ht="18" hidden="1" x14ac:dyDescent="0.35">
      <c r="A281" s="77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</row>
    <row r="282" spans="1:12" ht="16.2" customHeight="1" x14ac:dyDescent="0.35">
      <c r="A282" s="438"/>
      <c r="B282" s="439"/>
      <c r="C282" s="439"/>
      <c r="D282" s="439"/>
      <c r="E282" s="439"/>
      <c r="F282" s="439"/>
      <c r="G282" s="439"/>
      <c r="H282" s="439"/>
      <c r="I282" s="439"/>
      <c r="J282" s="439"/>
      <c r="K282" s="439"/>
      <c r="L282" s="439"/>
    </row>
    <row r="283" spans="1:12" ht="18" hidden="1" x14ac:dyDescent="0.35">
      <c r="A283" s="81"/>
      <c r="B283" s="271" t="s">
        <v>409</v>
      </c>
      <c r="C283" s="82"/>
      <c r="D283" s="82"/>
      <c r="E283" s="82"/>
      <c r="F283" s="82"/>
      <c r="G283" s="82"/>
      <c r="H283" s="82"/>
      <c r="I283" s="82"/>
      <c r="J283" s="271" t="s">
        <v>410</v>
      </c>
      <c r="L283" s="82"/>
    </row>
    <row r="284" spans="1:12" ht="18" x14ac:dyDescent="0.35">
      <c r="A284" s="263"/>
      <c r="B284" s="80"/>
      <c r="C284" s="264"/>
      <c r="D284" s="264"/>
      <c r="E284" s="264"/>
      <c r="F284" s="264"/>
      <c r="G284" s="264"/>
      <c r="H284" s="264"/>
      <c r="I284" s="80"/>
      <c r="J284" s="264"/>
      <c r="K284" s="264"/>
      <c r="L284" s="264"/>
    </row>
    <row r="285" spans="1:12" ht="18" x14ac:dyDescent="0.35">
      <c r="A285" s="83"/>
      <c r="B285" s="80"/>
      <c r="C285" s="78"/>
      <c r="D285" s="78"/>
      <c r="E285" s="78"/>
      <c r="F285" s="78"/>
      <c r="G285" s="78"/>
      <c r="H285" s="78"/>
      <c r="I285" s="80"/>
      <c r="J285" s="78"/>
      <c r="K285" s="78"/>
      <c r="L285" s="78"/>
    </row>
    <row r="286" spans="1:12" ht="18" x14ac:dyDescent="0.35">
      <c r="A286" s="83"/>
      <c r="B286" s="80"/>
      <c r="C286" s="78"/>
      <c r="D286" s="78"/>
      <c r="E286" s="78"/>
      <c r="F286" s="78"/>
      <c r="G286" s="78"/>
      <c r="H286" s="80"/>
      <c r="I286" s="80"/>
      <c r="J286" s="78"/>
      <c r="K286" s="78"/>
      <c r="L286" s="78"/>
    </row>
    <row r="288" spans="1:12" ht="18" x14ac:dyDescent="0.35">
      <c r="B288" s="80"/>
      <c r="I288" s="80"/>
    </row>
  </sheetData>
  <mergeCells count="24">
    <mergeCell ref="A11:L11"/>
    <mergeCell ref="A12:L12"/>
    <mergeCell ref="A13:L13"/>
    <mergeCell ref="A14:L14"/>
    <mergeCell ref="A17:A18"/>
    <mergeCell ref="B17:B18"/>
    <mergeCell ref="C17:C18"/>
    <mergeCell ref="D17:D18"/>
    <mergeCell ref="E17:E18"/>
    <mergeCell ref="F17:F18"/>
    <mergeCell ref="B277:L277"/>
    <mergeCell ref="A282:L282"/>
    <mergeCell ref="M17:M18"/>
    <mergeCell ref="B20:M20"/>
    <mergeCell ref="B72:M72"/>
    <mergeCell ref="A113:A116"/>
    <mergeCell ref="B113:B116"/>
    <mergeCell ref="B121:M121"/>
    <mergeCell ref="G17:G18"/>
    <mergeCell ref="H17:H18"/>
    <mergeCell ref="I17:I18"/>
    <mergeCell ref="J17:J18"/>
    <mergeCell ref="K17:K18"/>
    <mergeCell ref="L17:L18"/>
  </mergeCells>
  <pageMargins left="0.23622047244094491" right="0.31496062992125984" top="0.27559055118110237" bottom="0.11811023622047245" header="0.15748031496062992" footer="0.31496062992125984"/>
  <pageSetup paperSize="9" scale="77" fitToHeight="0" orientation="portrait" r:id="rId1"/>
  <headerFooter alignWithMargins="0"/>
  <rowBreaks count="1" manualBreakCount="1">
    <brk id="94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view="pageBreakPreview" topLeftCell="A8" zoomScaleNormal="66" zoomScaleSheetLayoutView="48" workbookViewId="0">
      <selection activeCell="A277" sqref="A277:XFD277"/>
    </sheetView>
  </sheetViews>
  <sheetFormatPr defaultColWidth="8.88671875" defaultRowHeight="17.399999999999999" x14ac:dyDescent="0.3"/>
  <cols>
    <col min="1" max="1" width="8.44140625" style="79" customWidth="1"/>
    <col min="2" max="2" width="57.5546875" style="20" customWidth="1"/>
    <col min="3" max="3" width="17.33203125" style="20" customWidth="1"/>
    <col min="4" max="4" width="28.109375" style="20" hidden="1" customWidth="1"/>
    <col min="5" max="5" width="9.109375" style="20" hidden="1" customWidth="1"/>
    <col min="6" max="6" width="18.33203125" style="20" hidden="1" customWidth="1"/>
    <col min="7" max="7" width="12.44140625" style="20" hidden="1" customWidth="1"/>
    <col min="8" max="8" width="15.33203125" style="20" hidden="1" customWidth="1"/>
    <col min="9" max="9" width="14.44140625" style="20" customWidth="1"/>
    <col min="10" max="10" width="16.44140625" style="20" customWidth="1"/>
    <col min="11" max="11" width="15.6640625" style="20" customWidth="1"/>
    <col min="12" max="12" width="17.109375" style="20" hidden="1" customWidth="1"/>
    <col min="13" max="13" width="15.44140625" style="21" hidden="1" customWidth="1"/>
    <col min="14" max="16384" width="8.88671875" style="21"/>
  </cols>
  <sheetData>
    <row r="1" spans="1:16" ht="18" hidden="1" x14ac:dyDescent="0.35">
      <c r="K1" s="162" t="s">
        <v>471</v>
      </c>
      <c r="N1" s="261"/>
      <c r="O1" s="261"/>
      <c r="P1" s="261"/>
    </row>
    <row r="2" spans="1:16" ht="18" hidden="1" x14ac:dyDescent="0.35">
      <c r="K2" s="162" t="s">
        <v>343</v>
      </c>
      <c r="N2" s="163"/>
      <c r="O2" s="163"/>
      <c r="P2" s="260"/>
    </row>
    <row r="3" spans="1:16" ht="18" hidden="1" x14ac:dyDescent="0.35">
      <c r="K3" s="162" t="s">
        <v>441</v>
      </c>
      <c r="N3" s="163"/>
      <c r="O3" s="163"/>
      <c r="P3" s="260"/>
    </row>
    <row r="4" spans="1:16" ht="18" hidden="1" x14ac:dyDescent="0.35">
      <c r="K4" s="162" t="s">
        <v>442</v>
      </c>
      <c r="N4" s="163"/>
      <c r="O4" s="163"/>
      <c r="P4" s="162"/>
    </row>
    <row r="5" spans="1:16" ht="18" hidden="1" x14ac:dyDescent="0.35">
      <c r="K5" s="162" t="s">
        <v>345</v>
      </c>
      <c r="O5" s="260"/>
      <c r="P5" s="260"/>
    </row>
    <row r="6" spans="1:16" ht="18" hidden="1" x14ac:dyDescent="0.35">
      <c r="K6" s="162" t="s">
        <v>443</v>
      </c>
      <c r="N6" s="163"/>
      <c r="O6" s="163"/>
    </row>
    <row r="7" spans="1:16" ht="18" hidden="1" x14ac:dyDescent="0.35">
      <c r="G7" s="433" t="s">
        <v>444</v>
      </c>
      <c r="H7" s="433"/>
      <c r="I7" s="433"/>
      <c r="J7" s="433"/>
      <c r="K7" s="433"/>
    </row>
    <row r="9" spans="1:16" ht="18" x14ac:dyDescent="0.35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</row>
    <row r="10" spans="1:16" x14ac:dyDescent="0.3">
      <c r="A10" s="454" t="s">
        <v>39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</row>
    <row r="11" spans="1:16" x14ac:dyDescent="0.3">
      <c r="A11" s="454" t="s">
        <v>136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</row>
    <row r="12" spans="1:16" x14ac:dyDescent="0.3">
      <c r="A12" s="455" t="s">
        <v>41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</row>
    <row r="13" spans="1:16" ht="17.25" customHeight="1" x14ac:dyDescent="0.3">
      <c r="A13" s="455" t="s">
        <v>42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16" ht="15" customHeight="1" x14ac:dyDescent="0.3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6" ht="18" x14ac:dyDescent="0.35">
      <c r="A15" s="22"/>
      <c r="B15" s="23"/>
      <c r="C15" s="23"/>
      <c r="D15" s="23"/>
      <c r="E15" s="23"/>
      <c r="F15" s="23"/>
      <c r="G15" s="23"/>
      <c r="H15" s="23"/>
      <c r="J15" s="24"/>
      <c r="K15" s="168" t="s">
        <v>445</v>
      </c>
      <c r="L15" s="25" t="s">
        <v>352</v>
      </c>
    </row>
    <row r="16" spans="1:16" ht="43.2" customHeight="1" x14ac:dyDescent="0.25">
      <c r="A16" s="456" t="s">
        <v>1</v>
      </c>
      <c r="B16" s="440" t="s">
        <v>43</v>
      </c>
      <c r="C16" s="440" t="s">
        <v>3</v>
      </c>
      <c r="D16" s="440" t="s">
        <v>178</v>
      </c>
      <c r="E16" s="440" t="s">
        <v>3</v>
      </c>
      <c r="F16" s="440" t="s">
        <v>179</v>
      </c>
      <c r="G16" s="440" t="s">
        <v>180</v>
      </c>
      <c r="H16" s="440" t="s">
        <v>181</v>
      </c>
      <c r="I16" s="440" t="s">
        <v>182</v>
      </c>
      <c r="J16" s="440" t="s">
        <v>183</v>
      </c>
      <c r="K16" s="440" t="s">
        <v>353</v>
      </c>
      <c r="L16" s="440" t="s">
        <v>44</v>
      </c>
      <c r="M16" s="440" t="s">
        <v>354</v>
      </c>
    </row>
    <row r="17" spans="1:13" ht="115.5" customHeight="1" x14ac:dyDescent="0.25">
      <c r="A17" s="457"/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</row>
    <row r="18" spans="1:13" ht="16.5" customHeight="1" x14ac:dyDescent="0.35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4</v>
      </c>
      <c r="I18" s="27">
        <v>4</v>
      </c>
      <c r="J18" s="27">
        <v>5</v>
      </c>
      <c r="K18" s="27">
        <v>6</v>
      </c>
      <c r="L18" s="27">
        <v>6</v>
      </c>
      <c r="M18" s="27">
        <v>7</v>
      </c>
    </row>
    <row r="19" spans="1:13" x14ac:dyDescent="0.3">
      <c r="A19" s="28">
        <v>1</v>
      </c>
      <c r="B19" s="442" t="s">
        <v>45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4"/>
    </row>
    <row r="20" spans="1:13" s="307" customFormat="1" ht="36" x14ac:dyDescent="0.35">
      <c r="A20" s="29" t="s">
        <v>46</v>
      </c>
      <c r="B20" s="30" t="s">
        <v>47</v>
      </c>
      <c r="C20" s="31" t="s">
        <v>48</v>
      </c>
      <c r="D20" s="32"/>
      <c r="E20" s="31"/>
      <c r="F20" s="31"/>
      <c r="G20" s="33"/>
      <c r="H20" s="33"/>
      <c r="I20" s="33"/>
      <c r="J20" s="153">
        <v>9.8000000000000007</v>
      </c>
      <c r="K20" s="153">
        <v>9.8000000000000007</v>
      </c>
      <c r="L20" s="33">
        <v>98000</v>
      </c>
      <c r="M20" s="33">
        <v>98000</v>
      </c>
    </row>
    <row r="21" spans="1:13" s="307" customFormat="1" ht="72" x14ac:dyDescent="0.35">
      <c r="A21" s="29" t="s">
        <v>49</v>
      </c>
      <c r="B21" s="30" t="s">
        <v>50</v>
      </c>
      <c r="C21" s="31" t="s">
        <v>51</v>
      </c>
      <c r="D21" s="32"/>
      <c r="E21" s="31"/>
      <c r="F21" s="31"/>
      <c r="G21" s="33"/>
      <c r="H21" s="33">
        <v>2806.3</v>
      </c>
      <c r="I21" s="153">
        <f>K21</f>
        <v>0.28000000000000003</v>
      </c>
      <c r="J21" s="153"/>
      <c r="K21" s="153">
        <v>0.28000000000000003</v>
      </c>
      <c r="L21" s="33">
        <v>2800</v>
      </c>
      <c r="M21" s="33">
        <v>2800</v>
      </c>
    </row>
    <row r="22" spans="1:13" s="307" customFormat="1" ht="18" hidden="1" x14ac:dyDescent="0.35">
      <c r="A22" s="29"/>
      <c r="B22" s="30"/>
      <c r="C22" s="31"/>
      <c r="D22" s="34" t="s">
        <v>184</v>
      </c>
      <c r="E22" s="31" t="s">
        <v>185</v>
      </c>
      <c r="F22" s="31">
        <v>1E-3</v>
      </c>
      <c r="G22" s="35">
        <v>40300</v>
      </c>
      <c r="H22" s="33">
        <v>40.300000000000004</v>
      </c>
      <c r="I22" s="33"/>
      <c r="J22" s="33"/>
      <c r="K22" s="33">
        <v>0</v>
      </c>
      <c r="L22" s="33"/>
    </row>
    <row r="23" spans="1:13" s="307" customFormat="1" ht="31.8" hidden="1" x14ac:dyDescent="0.35">
      <c r="A23" s="29"/>
      <c r="B23" s="27"/>
      <c r="C23" s="31"/>
      <c r="D23" s="34" t="s">
        <v>186</v>
      </c>
      <c r="E23" s="31" t="s">
        <v>185</v>
      </c>
      <c r="F23" s="31">
        <v>1</v>
      </c>
      <c r="G23" s="35">
        <v>888</v>
      </c>
      <c r="H23" s="33">
        <v>888</v>
      </c>
      <c r="I23" s="33"/>
      <c r="J23" s="33"/>
      <c r="K23" s="33">
        <v>0</v>
      </c>
      <c r="L23" s="33"/>
    </row>
    <row r="24" spans="1:13" s="307" customFormat="1" ht="31.8" hidden="1" x14ac:dyDescent="0.35">
      <c r="A24" s="36"/>
      <c r="B24" s="37"/>
      <c r="C24" s="38"/>
      <c r="D24" s="39" t="s">
        <v>187</v>
      </c>
      <c r="E24" s="38" t="s">
        <v>185</v>
      </c>
      <c r="F24" s="38">
        <v>1</v>
      </c>
      <c r="G24" s="35">
        <v>262</v>
      </c>
      <c r="H24" s="33">
        <v>262</v>
      </c>
      <c r="I24" s="33"/>
      <c r="J24" s="33"/>
      <c r="K24" s="33">
        <v>0</v>
      </c>
      <c r="L24" s="33"/>
    </row>
    <row r="25" spans="1:13" s="307" customFormat="1" ht="18" hidden="1" x14ac:dyDescent="0.35">
      <c r="A25" s="29"/>
      <c r="B25" s="27"/>
      <c r="C25" s="31"/>
      <c r="D25" s="34" t="s">
        <v>188</v>
      </c>
      <c r="E25" s="31" t="s">
        <v>185</v>
      </c>
      <c r="F25" s="31">
        <v>1</v>
      </c>
      <c r="G25" s="35">
        <v>648</v>
      </c>
      <c r="H25" s="33">
        <v>648</v>
      </c>
      <c r="I25" s="33"/>
      <c r="J25" s="33"/>
      <c r="K25" s="33">
        <v>0</v>
      </c>
      <c r="L25" s="33"/>
    </row>
    <row r="26" spans="1:13" s="307" customFormat="1" ht="31.8" hidden="1" x14ac:dyDescent="0.35">
      <c r="A26" s="29"/>
      <c r="B26" s="27"/>
      <c r="C26" s="31"/>
      <c r="D26" s="34" t="s">
        <v>189</v>
      </c>
      <c r="E26" s="31" t="s">
        <v>185</v>
      </c>
      <c r="F26" s="31">
        <v>1</v>
      </c>
      <c r="G26" s="35">
        <v>800</v>
      </c>
      <c r="H26" s="33">
        <v>800</v>
      </c>
      <c r="I26" s="33"/>
      <c r="J26" s="33"/>
      <c r="K26" s="33">
        <v>0</v>
      </c>
      <c r="L26" s="33"/>
    </row>
    <row r="27" spans="1:13" s="307" customFormat="1" ht="18" hidden="1" x14ac:dyDescent="0.35">
      <c r="A27" s="29"/>
      <c r="B27" s="27"/>
      <c r="C27" s="31"/>
      <c r="D27" s="34" t="s">
        <v>190</v>
      </c>
      <c r="E27" s="31" t="s">
        <v>185</v>
      </c>
      <c r="F27" s="31">
        <v>4</v>
      </c>
      <c r="G27" s="35">
        <v>42</v>
      </c>
      <c r="H27" s="33">
        <v>168</v>
      </c>
      <c r="I27" s="33"/>
      <c r="J27" s="33"/>
      <c r="K27" s="33">
        <v>0</v>
      </c>
      <c r="L27" s="33"/>
    </row>
    <row r="28" spans="1:13" s="307" customFormat="1" ht="28.5" hidden="1" customHeight="1" x14ac:dyDescent="0.35">
      <c r="A28" s="29"/>
      <c r="B28" s="27"/>
      <c r="C28" s="31"/>
      <c r="D28" s="34"/>
      <c r="E28" s="31"/>
      <c r="F28" s="31"/>
      <c r="G28" s="33"/>
      <c r="H28" s="33"/>
      <c r="I28" s="33"/>
      <c r="J28" s="33"/>
      <c r="K28" s="33">
        <v>0</v>
      </c>
      <c r="L28" s="33"/>
    </row>
    <row r="29" spans="1:13" s="307" customFormat="1" ht="36" x14ac:dyDescent="0.35">
      <c r="A29" s="29" t="s">
        <v>52</v>
      </c>
      <c r="B29" s="30" t="s">
        <v>53</v>
      </c>
      <c r="C29" s="31" t="s">
        <v>54</v>
      </c>
      <c r="D29" s="34"/>
      <c r="E29" s="31"/>
      <c r="F29" s="31"/>
      <c r="G29" s="33"/>
      <c r="H29" s="33"/>
      <c r="I29" s="153"/>
      <c r="J29" s="153">
        <v>5.44</v>
      </c>
      <c r="K29" s="153">
        <v>5.44</v>
      </c>
      <c r="L29" s="33">
        <v>54400</v>
      </c>
      <c r="M29" s="33">
        <v>54400</v>
      </c>
    </row>
    <row r="30" spans="1:13" s="307" customFormat="1" ht="36" x14ac:dyDescent="0.35">
      <c r="A30" s="29" t="s">
        <v>55</v>
      </c>
      <c r="B30" s="30" t="s">
        <v>56</v>
      </c>
      <c r="C30" s="31" t="s">
        <v>51</v>
      </c>
      <c r="D30" s="34"/>
      <c r="E30" s="31"/>
      <c r="F30" s="31"/>
      <c r="G30" s="33"/>
      <c r="H30" s="33">
        <v>1517.43</v>
      </c>
      <c r="I30" s="153">
        <v>0.15</v>
      </c>
      <c r="J30" s="153">
        <v>2.1800000000000002</v>
      </c>
      <c r="K30" s="153">
        <v>2.33</v>
      </c>
      <c r="L30" s="33">
        <v>23300</v>
      </c>
      <c r="M30" s="33">
        <v>23300</v>
      </c>
    </row>
    <row r="31" spans="1:13" s="307" customFormat="1" ht="18" hidden="1" x14ac:dyDescent="0.35">
      <c r="A31" s="29"/>
      <c r="B31" s="27"/>
      <c r="C31" s="31"/>
      <c r="D31" s="34" t="s">
        <v>191</v>
      </c>
      <c r="E31" s="31" t="s">
        <v>192</v>
      </c>
      <c r="F31" s="31">
        <v>0.1</v>
      </c>
      <c r="G31" s="33">
        <v>15174.3</v>
      </c>
      <c r="H31" s="33">
        <v>1517.43</v>
      </c>
      <c r="I31" s="153"/>
      <c r="J31" s="153"/>
      <c r="K31" s="153">
        <v>0</v>
      </c>
      <c r="L31" s="33"/>
    </row>
    <row r="32" spans="1:13" s="307" customFormat="1" ht="36" x14ac:dyDescent="0.35">
      <c r="A32" s="29" t="s">
        <v>57</v>
      </c>
      <c r="B32" s="30" t="s">
        <v>58</v>
      </c>
      <c r="C32" s="31" t="s">
        <v>51</v>
      </c>
      <c r="D32" s="34"/>
      <c r="E32" s="31"/>
      <c r="F32" s="31"/>
      <c r="G32" s="33"/>
      <c r="H32" s="33">
        <v>1517.43</v>
      </c>
      <c r="I32" s="153">
        <v>0.15</v>
      </c>
      <c r="J32" s="153">
        <v>1.63</v>
      </c>
      <c r="K32" s="153">
        <v>1.78</v>
      </c>
      <c r="L32" s="33">
        <v>17800</v>
      </c>
      <c r="M32" s="33">
        <v>17800</v>
      </c>
    </row>
    <row r="33" spans="1:13" s="307" customFormat="1" ht="18" hidden="1" x14ac:dyDescent="0.35">
      <c r="A33" s="29"/>
      <c r="B33" s="27"/>
      <c r="C33" s="31"/>
      <c r="D33" s="34" t="s">
        <v>191</v>
      </c>
      <c r="E33" s="31" t="s">
        <v>192</v>
      </c>
      <c r="F33" s="31">
        <v>0.1</v>
      </c>
      <c r="G33" s="33">
        <v>15174.3</v>
      </c>
      <c r="H33" s="33">
        <v>1517.43</v>
      </c>
      <c r="I33" s="153"/>
      <c r="J33" s="153"/>
      <c r="K33" s="153">
        <v>0</v>
      </c>
      <c r="L33" s="33"/>
    </row>
    <row r="34" spans="1:13" s="307" customFormat="1" ht="23.4" hidden="1" customHeight="1" x14ac:dyDescent="0.35">
      <c r="A34" s="40" t="s">
        <v>59</v>
      </c>
      <c r="B34" s="41" t="s">
        <v>193</v>
      </c>
      <c r="C34" s="42" t="s">
        <v>51</v>
      </c>
      <c r="D34" s="43"/>
      <c r="E34" s="42"/>
      <c r="F34" s="42"/>
      <c r="G34" s="44"/>
      <c r="H34" s="44">
        <v>2487</v>
      </c>
      <c r="I34" s="154">
        <v>2500</v>
      </c>
      <c r="J34" s="154">
        <v>21800</v>
      </c>
      <c r="K34" s="154">
        <v>24300</v>
      </c>
      <c r="L34" s="33">
        <v>7010</v>
      </c>
    </row>
    <row r="35" spans="1:13" s="307" customFormat="1" ht="18" hidden="1" x14ac:dyDescent="0.35">
      <c r="A35" s="40"/>
      <c r="B35" s="45"/>
      <c r="C35" s="42"/>
      <c r="D35" s="43" t="s">
        <v>194</v>
      </c>
      <c r="E35" s="42" t="s">
        <v>185</v>
      </c>
      <c r="F35" s="42">
        <v>0.1</v>
      </c>
      <c r="G35" s="44">
        <v>10270</v>
      </c>
      <c r="H35" s="44">
        <v>1027</v>
      </c>
      <c r="I35" s="154"/>
      <c r="J35" s="154"/>
      <c r="K35" s="154">
        <v>0</v>
      </c>
      <c r="L35" s="33"/>
    </row>
    <row r="36" spans="1:13" s="307" customFormat="1" ht="31.8" hidden="1" x14ac:dyDescent="0.35">
      <c r="A36" s="40"/>
      <c r="B36" s="45"/>
      <c r="C36" s="42"/>
      <c r="D36" s="43" t="s">
        <v>195</v>
      </c>
      <c r="E36" s="42" t="s">
        <v>185</v>
      </c>
      <c r="F36" s="42">
        <v>0.1</v>
      </c>
      <c r="G36" s="44">
        <v>3100</v>
      </c>
      <c r="H36" s="44">
        <v>310</v>
      </c>
      <c r="I36" s="154"/>
      <c r="J36" s="154"/>
      <c r="K36" s="154">
        <v>0</v>
      </c>
      <c r="L36" s="33"/>
    </row>
    <row r="37" spans="1:13" s="307" customFormat="1" ht="31.8" hidden="1" x14ac:dyDescent="0.35">
      <c r="A37" s="40"/>
      <c r="B37" s="45"/>
      <c r="C37" s="42"/>
      <c r="D37" s="43" t="s">
        <v>196</v>
      </c>
      <c r="E37" s="42" t="s">
        <v>185</v>
      </c>
      <c r="F37" s="42">
        <v>0.1</v>
      </c>
      <c r="G37" s="44">
        <v>8400</v>
      </c>
      <c r="H37" s="44">
        <v>840</v>
      </c>
      <c r="I37" s="154"/>
      <c r="J37" s="154"/>
      <c r="K37" s="154">
        <v>0</v>
      </c>
      <c r="L37" s="33"/>
    </row>
    <row r="38" spans="1:13" s="307" customFormat="1" ht="18" hidden="1" x14ac:dyDescent="0.35">
      <c r="A38" s="40"/>
      <c r="B38" s="46"/>
      <c r="C38" s="42"/>
      <c r="D38" s="43" t="s">
        <v>197</v>
      </c>
      <c r="E38" s="42" t="s">
        <v>185</v>
      </c>
      <c r="F38" s="42">
        <v>0.1</v>
      </c>
      <c r="G38" s="44">
        <v>3100</v>
      </c>
      <c r="H38" s="44">
        <v>310</v>
      </c>
      <c r="I38" s="154"/>
      <c r="J38" s="154"/>
      <c r="K38" s="154">
        <v>0</v>
      </c>
      <c r="L38" s="33"/>
    </row>
    <row r="39" spans="1:13" s="307" customFormat="1" ht="36" x14ac:dyDescent="0.35">
      <c r="A39" s="29" t="s">
        <v>59</v>
      </c>
      <c r="B39" s="47" t="s">
        <v>60</v>
      </c>
      <c r="C39" s="31" t="s">
        <v>51</v>
      </c>
      <c r="D39" s="34"/>
      <c r="E39" s="31"/>
      <c r="F39" s="31"/>
      <c r="G39" s="33"/>
      <c r="H39" s="33"/>
      <c r="I39" s="153"/>
      <c r="J39" s="153">
        <v>4.3499999999999996</v>
      </c>
      <c r="K39" s="153">
        <v>4.3499999999999996</v>
      </c>
      <c r="L39" s="33">
        <v>43500</v>
      </c>
      <c r="M39" s="33">
        <v>43500</v>
      </c>
    </row>
    <row r="40" spans="1:13" s="307" customFormat="1" ht="36" x14ac:dyDescent="0.35">
      <c r="A40" s="29" t="s">
        <v>61</v>
      </c>
      <c r="B40" s="30" t="s">
        <v>62</v>
      </c>
      <c r="C40" s="31" t="s">
        <v>51</v>
      </c>
      <c r="D40" s="34"/>
      <c r="E40" s="31"/>
      <c r="F40" s="31"/>
      <c r="G40" s="33"/>
      <c r="H40" s="33">
        <v>2559.8583333333331</v>
      </c>
      <c r="I40" s="153">
        <v>0.26</v>
      </c>
      <c r="J40" s="153">
        <v>1.63</v>
      </c>
      <c r="K40" s="153">
        <v>1.89</v>
      </c>
      <c r="L40" s="33">
        <v>18900</v>
      </c>
      <c r="M40" s="33">
        <v>18900</v>
      </c>
    </row>
    <row r="41" spans="1:13" s="307" customFormat="1" ht="18" hidden="1" x14ac:dyDescent="0.35">
      <c r="A41" s="29"/>
      <c r="B41" s="27"/>
      <c r="C41" s="31"/>
      <c r="D41" s="34" t="s">
        <v>198</v>
      </c>
      <c r="E41" s="31" t="s">
        <v>185</v>
      </c>
      <c r="F41" s="31">
        <v>0.1</v>
      </c>
      <c r="G41" s="33">
        <v>5320</v>
      </c>
      <c r="H41" s="33">
        <v>532</v>
      </c>
      <c r="I41" s="153"/>
      <c r="J41" s="153"/>
      <c r="K41" s="153">
        <v>0</v>
      </c>
      <c r="L41" s="33"/>
    </row>
    <row r="42" spans="1:13" s="307" customFormat="1" ht="31.8" hidden="1" x14ac:dyDescent="0.35">
      <c r="A42" s="29"/>
      <c r="B42" s="27"/>
      <c r="C42" s="31"/>
      <c r="D42" s="34" t="s">
        <v>199</v>
      </c>
      <c r="E42" s="31" t="s">
        <v>185</v>
      </c>
      <c r="F42" s="31">
        <v>0.2</v>
      </c>
      <c r="G42" s="33">
        <v>1800</v>
      </c>
      <c r="H42" s="33">
        <v>360</v>
      </c>
      <c r="I42" s="153"/>
      <c r="J42" s="153"/>
      <c r="K42" s="153">
        <v>0</v>
      </c>
      <c r="L42" s="33"/>
    </row>
    <row r="43" spans="1:13" s="307" customFormat="1" ht="31.8" hidden="1" x14ac:dyDescent="0.35">
      <c r="A43" s="29"/>
      <c r="B43" s="27"/>
      <c r="C43" s="31"/>
      <c r="D43" s="34" t="s">
        <v>200</v>
      </c>
      <c r="E43" s="31" t="s">
        <v>201</v>
      </c>
      <c r="F43" s="31">
        <v>0.1</v>
      </c>
      <c r="G43" s="33">
        <v>266.66666666666669</v>
      </c>
      <c r="H43" s="33">
        <v>26.666666666666671</v>
      </c>
      <c r="I43" s="153"/>
      <c r="J43" s="153"/>
      <c r="K43" s="153">
        <v>0</v>
      </c>
      <c r="L43" s="33"/>
    </row>
    <row r="44" spans="1:13" s="307" customFormat="1" ht="18" hidden="1" x14ac:dyDescent="0.35">
      <c r="A44" s="29"/>
      <c r="B44" s="27"/>
      <c r="C44" s="31"/>
      <c r="D44" s="34" t="s">
        <v>202</v>
      </c>
      <c r="E44" s="31" t="s">
        <v>192</v>
      </c>
      <c r="F44" s="31">
        <v>1</v>
      </c>
      <c r="G44" s="35">
        <v>31</v>
      </c>
      <c r="H44" s="33">
        <v>31</v>
      </c>
      <c r="I44" s="153"/>
      <c r="J44" s="153"/>
      <c r="K44" s="153">
        <v>0</v>
      </c>
      <c r="L44" s="33"/>
    </row>
    <row r="45" spans="1:13" s="307" customFormat="1" ht="18" hidden="1" x14ac:dyDescent="0.35">
      <c r="A45" s="29"/>
      <c r="B45" s="27"/>
      <c r="C45" s="31"/>
      <c r="D45" s="34" t="s">
        <v>203</v>
      </c>
      <c r="E45" s="31" t="s">
        <v>185</v>
      </c>
      <c r="F45" s="31">
        <v>1</v>
      </c>
      <c r="G45" s="35">
        <v>1024.7750000000001</v>
      </c>
      <c r="H45" s="33">
        <v>1024.7750000000001</v>
      </c>
      <c r="I45" s="153"/>
      <c r="J45" s="153"/>
      <c r="K45" s="153"/>
      <c r="L45" s="33"/>
    </row>
    <row r="46" spans="1:13" s="307" customFormat="1" ht="18.600000000000001" hidden="1" customHeight="1" x14ac:dyDescent="0.35">
      <c r="A46" s="29"/>
      <c r="B46" s="27"/>
      <c r="C46" s="31"/>
      <c r="D46" s="34" t="s">
        <v>204</v>
      </c>
      <c r="E46" s="31" t="s">
        <v>185</v>
      </c>
      <c r="F46" s="31">
        <v>0.25</v>
      </c>
      <c r="G46" s="35">
        <v>2341.6666666666665</v>
      </c>
      <c r="H46" s="33">
        <v>585.41666666666663</v>
      </c>
      <c r="I46" s="153"/>
      <c r="J46" s="153"/>
      <c r="K46" s="153"/>
      <c r="L46" s="33"/>
    </row>
    <row r="47" spans="1:13" s="307" customFormat="1" ht="36" x14ac:dyDescent="0.35">
      <c r="A47" s="29" t="s">
        <v>63</v>
      </c>
      <c r="B47" s="30" t="s">
        <v>64</v>
      </c>
      <c r="C47" s="31" t="s">
        <v>51</v>
      </c>
      <c r="D47" s="34"/>
      <c r="E47" s="31"/>
      <c r="F47" s="31"/>
      <c r="G47" s="33"/>
      <c r="H47" s="33">
        <v>71.300000000000011</v>
      </c>
      <c r="I47" s="153">
        <v>0.01</v>
      </c>
      <c r="J47" s="153">
        <v>3.27</v>
      </c>
      <c r="K47" s="153">
        <v>3.28</v>
      </c>
      <c r="L47" s="33">
        <v>32800</v>
      </c>
      <c r="M47" s="33">
        <v>32800</v>
      </c>
    </row>
    <row r="48" spans="1:13" s="307" customFormat="1" ht="18" hidden="1" x14ac:dyDescent="0.35">
      <c r="A48" s="29"/>
      <c r="B48" s="27"/>
      <c r="C48" s="31"/>
      <c r="D48" s="34" t="s">
        <v>202</v>
      </c>
      <c r="E48" s="31" t="s">
        <v>192</v>
      </c>
      <c r="F48" s="31">
        <v>1</v>
      </c>
      <c r="G48" s="48">
        <v>31</v>
      </c>
      <c r="H48" s="33">
        <v>31</v>
      </c>
      <c r="I48" s="153"/>
      <c r="J48" s="153"/>
      <c r="K48" s="153">
        <v>0</v>
      </c>
      <c r="L48" s="33"/>
    </row>
    <row r="49" spans="1:13" s="307" customFormat="1" ht="18" hidden="1" x14ac:dyDescent="0.35">
      <c r="A49" s="29"/>
      <c r="B49" s="27"/>
      <c r="C49" s="31"/>
      <c r="D49" s="34" t="s">
        <v>184</v>
      </c>
      <c r="E49" s="31" t="s">
        <v>192</v>
      </c>
      <c r="F49" s="31">
        <v>1E-3</v>
      </c>
      <c r="G49" s="48">
        <v>40300</v>
      </c>
      <c r="H49" s="33">
        <v>40.300000000000004</v>
      </c>
      <c r="I49" s="153"/>
      <c r="J49" s="153"/>
      <c r="K49" s="153">
        <v>0</v>
      </c>
      <c r="L49" s="33"/>
    </row>
    <row r="50" spans="1:13" s="307" customFormat="1" ht="36" hidden="1" x14ac:dyDescent="0.35">
      <c r="A50" s="49" t="s">
        <v>65</v>
      </c>
      <c r="B50" s="41" t="s">
        <v>205</v>
      </c>
      <c r="C50" s="42" t="s">
        <v>51</v>
      </c>
      <c r="D50" s="43"/>
      <c r="E50" s="42"/>
      <c r="F50" s="42"/>
      <c r="G50" s="44"/>
      <c r="H50" s="44">
        <v>168.09</v>
      </c>
      <c r="I50" s="154">
        <v>150</v>
      </c>
      <c r="J50" s="154">
        <v>21800</v>
      </c>
      <c r="K50" s="154">
        <v>21950</v>
      </c>
      <c r="L50" s="33">
        <v>4680</v>
      </c>
    </row>
    <row r="51" spans="1:13" s="307" customFormat="1" ht="18" hidden="1" x14ac:dyDescent="0.35">
      <c r="A51" s="40"/>
      <c r="B51" s="41"/>
      <c r="C51" s="42"/>
      <c r="D51" s="50" t="s">
        <v>206</v>
      </c>
      <c r="E51" s="45" t="s">
        <v>185</v>
      </c>
      <c r="F51" s="51">
        <v>1E-3</v>
      </c>
      <c r="G51" s="44">
        <v>137090</v>
      </c>
      <c r="H51" s="44">
        <v>137.09</v>
      </c>
      <c r="I51" s="154"/>
      <c r="J51" s="154"/>
      <c r="K51" s="154">
        <v>0</v>
      </c>
      <c r="L51" s="33"/>
    </row>
    <row r="52" spans="1:13" s="307" customFormat="1" ht="18" hidden="1" x14ac:dyDescent="0.35">
      <c r="A52" s="40"/>
      <c r="B52" s="45"/>
      <c r="C52" s="42"/>
      <c r="D52" s="50" t="s">
        <v>202</v>
      </c>
      <c r="E52" s="45" t="s">
        <v>192</v>
      </c>
      <c r="F52" s="51">
        <v>1</v>
      </c>
      <c r="G52" s="48">
        <v>31</v>
      </c>
      <c r="H52" s="44">
        <v>31</v>
      </c>
      <c r="I52" s="154"/>
      <c r="J52" s="154"/>
      <c r="K52" s="154">
        <v>0</v>
      </c>
      <c r="L52" s="33"/>
    </row>
    <row r="53" spans="1:13" s="307" customFormat="1" ht="18" x14ac:dyDescent="0.35">
      <c r="A53" s="29" t="s">
        <v>66</v>
      </c>
      <c r="B53" s="30" t="s">
        <v>67</v>
      </c>
      <c r="C53" s="31" t="s">
        <v>51</v>
      </c>
      <c r="D53" s="34"/>
      <c r="E53" s="31"/>
      <c r="F53" s="31"/>
      <c r="G53" s="33"/>
      <c r="H53" s="33">
        <v>126.27</v>
      </c>
      <c r="I53" s="153">
        <v>0.02</v>
      </c>
      <c r="J53" s="153">
        <v>2.72</v>
      </c>
      <c r="K53" s="153">
        <v>2.74</v>
      </c>
      <c r="L53" s="33">
        <v>27400</v>
      </c>
      <c r="M53" s="33">
        <v>27400</v>
      </c>
    </row>
    <row r="54" spans="1:13" s="307" customFormat="1" ht="31.8" hidden="1" x14ac:dyDescent="0.35">
      <c r="A54" s="29"/>
      <c r="B54" s="27"/>
      <c r="C54" s="31"/>
      <c r="D54" s="34" t="s">
        <v>207</v>
      </c>
      <c r="E54" s="31" t="s">
        <v>201</v>
      </c>
      <c r="F54" s="31">
        <v>0.5</v>
      </c>
      <c r="G54" s="33">
        <v>252.54</v>
      </c>
      <c r="H54" s="33">
        <v>126.27</v>
      </c>
      <c r="I54" s="153"/>
      <c r="J54" s="153"/>
      <c r="K54" s="153">
        <v>0</v>
      </c>
      <c r="L54" s="33"/>
    </row>
    <row r="55" spans="1:13" s="307" customFormat="1" ht="18" x14ac:dyDescent="0.35">
      <c r="A55" s="29" t="s">
        <v>65</v>
      </c>
      <c r="B55" s="30" t="s">
        <v>68</v>
      </c>
      <c r="C55" s="31" t="s">
        <v>51</v>
      </c>
      <c r="D55" s="34"/>
      <c r="E55" s="31"/>
      <c r="F55" s="31"/>
      <c r="G55" s="33"/>
      <c r="H55" s="33">
        <v>6588.3441999999995</v>
      </c>
      <c r="I55" s="153">
        <v>0.66</v>
      </c>
      <c r="J55" s="153">
        <v>6.53</v>
      </c>
      <c r="K55" s="153">
        <f>I55+J55</f>
        <v>7.19</v>
      </c>
      <c r="L55" s="33">
        <v>71900</v>
      </c>
      <c r="M55" s="33">
        <v>71900</v>
      </c>
    </row>
    <row r="56" spans="1:13" s="307" customFormat="1" ht="18" hidden="1" x14ac:dyDescent="0.35">
      <c r="A56" s="29"/>
      <c r="B56" s="27"/>
      <c r="C56" s="31"/>
      <c r="D56" s="34" t="s">
        <v>208</v>
      </c>
      <c r="E56" s="31" t="s">
        <v>185</v>
      </c>
      <c r="F56" s="31" t="s">
        <v>209</v>
      </c>
      <c r="G56" s="33"/>
      <c r="H56" s="33"/>
      <c r="I56" s="153"/>
      <c r="J56" s="153"/>
      <c r="K56" s="153">
        <f t="shared" ref="K56:K64" si="0">I56+J56</f>
        <v>0</v>
      </c>
      <c r="L56" s="33"/>
    </row>
    <row r="57" spans="1:13" s="307" customFormat="1" ht="18" hidden="1" x14ac:dyDescent="0.35">
      <c r="A57" s="29"/>
      <c r="B57" s="27"/>
      <c r="C57" s="31"/>
      <c r="D57" s="34" t="s">
        <v>210</v>
      </c>
      <c r="E57" s="31" t="s">
        <v>185</v>
      </c>
      <c r="F57" s="31">
        <v>0.33329999999999999</v>
      </c>
      <c r="G57" s="33">
        <v>9404</v>
      </c>
      <c r="H57" s="33">
        <v>3134.3532</v>
      </c>
      <c r="I57" s="153"/>
      <c r="J57" s="153"/>
      <c r="K57" s="153">
        <f t="shared" si="0"/>
        <v>0</v>
      </c>
      <c r="L57" s="33"/>
    </row>
    <row r="58" spans="1:13" s="307" customFormat="1" ht="18" hidden="1" x14ac:dyDescent="0.35">
      <c r="A58" s="29"/>
      <c r="B58" s="27"/>
      <c r="C58" s="31"/>
      <c r="D58" s="34" t="s">
        <v>194</v>
      </c>
      <c r="E58" s="31" t="s">
        <v>185</v>
      </c>
      <c r="F58" s="31">
        <v>0.33329999999999999</v>
      </c>
      <c r="G58" s="33">
        <v>10270</v>
      </c>
      <c r="H58" s="33">
        <v>3422.991</v>
      </c>
      <c r="I58" s="153"/>
      <c r="J58" s="153"/>
      <c r="K58" s="153">
        <f t="shared" si="0"/>
        <v>0</v>
      </c>
      <c r="L58" s="33"/>
    </row>
    <row r="59" spans="1:13" s="307" customFormat="1" ht="18" hidden="1" x14ac:dyDescent="0.35">
      <c r="A59" s="29"/>
      <c r="B59" s="27"/>
      <c r="C59" s="31"/>
      <c r="D59" s="34" t="s">
        <v>202</v>
      </c>
      <c r="E59" s="31" t="s">
        <v>192</v>
      </c>
      <c r="F59" s="31">
        <v>1</v>
      </c>
      <c r="G59" s="48">
        <v>31</v>
      </c>
      <c r="H59" s="33">
        <v>31</v>
      </c>
      <c r="I59" s="153"/>
      <c r="J59" s="153"/>
      <c r="K59" s="153">
        <f t="shared" si="0"/>
        <v>0</v>
      </c>
      <c r="L59" s="33"/>
    </row>
    <row r="60" spans="1:13" s="307" customFormat="1" ht="18" x14ac:dyDescent="0.35">
      <c r="A60" s="29" t="s">
        <v>69</v>
      </c>
      <c r="B60" s="30" t="s">
        <v>70</v>
      </c>
      <c r="C60" s="31" t="s">
        <v>51</v>
      </c>
      <c r="D60" s="34"/>
      <c r="E60" s="31"/>
      <c r="F60" s="31"/>
      <c r="G60" s="33"/>
      <c r="H60" s="33">
        <v>4949.5</v>
      </c>
      <c r="I60" s="153">
        <v>0.5</v>
      </c>
      <c r="J60" s="153">
        <v>3.27</v>
      </c>
      <c r="K60" s="153">
        <f t="shared" si="0"/>
        <v>3.77</v>
      </c>
      <c r="L60" s="33">
        <v>37700</v>
      </c>
      <c r="M60" s="33">
        <v>37700</v>
      </c>
    </row>
    <row r="61" spans="1:13" s="307" customFormat="1" ht="18" hidden="1" x14ac:dyDescent="0.35">
      <c r="A61" s="29"/>
      <c r="B61" s="27"/>
      <c r="C61" s="31"/>
      <c r="D61" s="34" t="s">
        <v>208</v>
      </c>
      <c r="E61" s="31" t="s">
        <v>185</v>
      </c>
      <c r="F61" s="31" t="s">
        <v>211</v>
      </c>
      <c r="G61" s="33">
        <v>0</v>
      </c>
      <c r="H61" s="33"/>
      <c r="I61" s="153"/>
      <c r="J61" s="153"/>
      <c r="K61" s="153">
        <f t="shared" si="0"/>
        <v>0</v>
      </c>
      <c r="L61" s="33"/>
    </row>
    <row r="62" spans="1:13" s="307" customFormat="1" ht="18" hidden="1" x14ac:dyDescent="0.35">
      <c r="A62" s="29"/>
      <c r="B62" s="27"/>
      <c r="C62" s="31"/>
      <c r="D62" s="34" t="s">
        <v>210</v>
      </c>
      <c r="E62" s="31" t="s">
        <v>185</v>
      </c>
      <c r="F62" s="31">
        <v>0.25</v>
      </c>
      <c r="G62" s="33">
        <v>9404</v>
      </c>
      <c r="H62" s="33">
        <v>2351</v>
      </c>
      <c r="I62" s="153"/>
      <c r="J62" s="153"/>
      <c r="K62" s="153">
        <f t="shared" si="0"/>
        <v>0</v>
      </c>
      <c r="L62" s="33"/>
    </row>
    <row r="63" spans="1:13" s="307" customFormat="1" ht="18" hidden="1" x14ac:dyDescent="0.35">
      <c r="A63" s="29"/>
      <c r="B63" s="27"/>
      <c r="C63" s="31"/>
      <c r="D63" s="34" t="s">
        <v>194</v>
      </c>
      <c r="E63" s="31" t="s">
        <v>185</v>
      </c>
      <c r="F63" s="31">
        <v>0.25</v>
      </c>
      <c r="G63" s="33">
        <v>10270</v>
      </c>
      <c r="H63" s="33">
        <v>2567.5</v>
      </c>
      <c r="I63" s="153"/>
      <c r="J63" s="153"/>
      <c r="K63" s="153">
        <f t="shared" si="0"/>
        <v>0</v>
      </c>
      <c r="L63" s="33"/>
    </row>
    <row r="64" spans="1:13" s="307" customFormat="1" ht="18" hidden="1" x14ac:dyDescent="0.35">
      <c r="A64" s="29"/>
      <c r="B64" s="27"/>
      <c r="C64" s="31"/>
      <c r="D64" s="34" t="s">
        <v>202</v>
      </c>
      <c r="E64" s="31" t="s">
        <v>192</v>
      </c>
      <c r="F64" s="31">
        <v>1</v>
      </c>
      <c r="G64" s="48">
        <v>31</v>
      </c>
      <c r="H64" s="33">
        <v>31</v>
      </c>
      <c r="I64" s="153"/>
      <c r="J64" s="153"/>
      <c r="K64" s="153">
        <f t="shared" si="0"/>
        <v>0</v>
      </c>
      <c r="L64" s="33"/>
    </row>
    <row r="65" spans="1:14" s="307" customFormat="1" ht="18" x14ac:dyDescent="0.35">
      <c r="A65" s="29" t="s">
        <v>71</v>
      </c>
      <c r="B65" s="30" t="s">
        <v>72</v>
      </c>
      <c r="C65" s="31" t="s">
        <v>51</v>
      </c>
      <c r="D65" s="34"/>
      <c r="E65" s="31"/>
      <c r="F65" s="31"/>
      <c r="G65" s="33"/>
      <c r="H65" s="33">
        <v>7753.7</v>
      </c>
      <c r="I65" s="153">
        <v>0.78</v>
      </c>
      <c r="J65" s="153">
        <v>5.44</v>
      </c>
      <c r="K65" s="153">
        <f>I65+J65</f>
        <v>6.2200000000000006</v>
      </c>
      <c r="L65" s="33">
        <v>62200</v>
      </c>
      <c r="M65" s="33">
        <v>62200</v>
      </c>
    </row>
    <row r="66" spans="1:14" s="307" customFormat="1" ht="19.5" hidden="1" customHeight="1" x14ac:dyDescent="0.35">
      <c r="A66" s="29"/>
      <c r="B66" s="27"/>
      <c r="C66" s="31"/>
      <c r="D66" s="34" t="s">
        <v>212</v>
      </c>
      <c r="E66" s="31" t="s">
        <v>213</v>
      </c>
      <c r="F66" s="31">
        <v>1</v>
      </c>
      <c r="G66" s="35">
        <v>7153.7</v>
      </c>
      <c r="H66" s="33">
        <v>7153.7</v>
      </c>
      <c r="I66" s="153"/>
      <c r="J66" s="153"/>
      <c r="K66" s="153">
        <f>I66+J66</f>
        <v>0</v>
      </c>
      <c r="L66" s="33"/>
    </row>
    <row r="67" spans="1:14" s="307" customFormat="1" ht="18" hidden="1" x14ac:dyDescent="0.35">
      <c r="A67" s="29"/>
      <c r="B67" s="27"/>
      <c r="C67" s="31"/>
      <c r="D67" s="34" t="s">
        <v>214</v>
      </c>
      <c r="E67" s="31" t="s">
        <v>185</v>
      </c>
      <c r="F67" s="31">
        <v>1</v>
      </c>
      <c r="G67" s="35">
        <v>600</v>
      </c>
      <c r="H67" s="33">
        <v>600</v>
      </c>
      <c r="I67" s="153"/>
      <c r="J67" s="153"/>
      <c r="K67" s="153">
        <f>I67+J67</f>
        <v>0</v>
      </c>
      <c r="L67" s="33"/>
    </row>
    <row r="68" spans="1:14" s="307" customFormat="1" ht="18" x14ac:dyDescent="0.35">
      <c r="A68" s="29" t="s">
        <v>73</v>
      </c>
      <c r="B68" s="30" t="s">
        <v>74</v>
      </c>
      <c r="C68" s="31" t="s">
        <v>51</v>
      </c>
      <c r="D68" s="34"/>
      <c r="E68" s="31"/>
      <c r="F68" s="31"/>
      <c r="G68" s="33"/>
      <c r="H68" s="33">
        <v>7753.7</v>
      </c>
      <c r="I68" s="153">
        <v>0.78</v>
      </c>
      <c r="J68" s="153">
        <v>8.16</v>
      </c>
      <c r="K68" s="153">
        <f>I68+J68</f>
        <v>8.94</v>
      </c>
      <c r="L68" s="33">
        <v>89400</v>
      </c>
      <c r="M68" s="33">
        <v>89400</v>
      </c>
    </row>
    <row r="69" spans="1:14" s="307" customFormat="1" ht="19.5" hidden="1" customHeight="1" x14ac:dyDescent="0.35">
      <c r="A69" s="29"/>
      <c r="B69" s="27"/>
      <c r="C69" s="31"/>
      <c r="D69" s="34" t="s">
        <v>212</v>
      </c>
      <c r="E69" s="31" t="s">
        <v>213</v>
      </c>
      <c r="F69" s="31">
        <v>1</v>
      </c>
      <c r="G69" s="48">
        <v>7153.7</v>
      </c>
      <c r="H69" s="33">
        <v>7153.7</v>
      </c>
      <c r="I69" s="33"/>
      <c r="J69" s="33"/>
      <c r="K69" s="33">
        <v>0</v>
      </c>
      <c r="L69" s="33"/>
    </row>
    <row r="70" spans="1:14" s="307" customFormat="1" ht="18" hidden="1" x14ac:dyDescent="0.35">
      <c r="A70" s="29"/>
      <c r="B70" s="308"/>
      <c r="C70" s="309"/>
      <c r="D70" s="310" t="s">
        <v>214</v>
      </c>
      <c r="E70" s="309" t="s">
        <v>185</v>
      </c>
      <c r="F70" s="309">
        <v>1</v>
      </c>
      <c r="G70" s="311">
        <v>600</v>
      </c>
      <c r="H70" s="312">
        <v>600</v>
      </c>
      <c r="I70" s="312"/>
      <c r="J70" s="312"/>
      <c r="K70" s="312">
        <v>0</v>
      </c>
      <c r="L70" s="312"/>
    </row>
    <row r="71" spans="1:14" x14ac:dyDescent="0.25">
      <c r="A71" s="52" t="s">
        <v>75</v>
      </c>
      <c r="B71" s="442" t="s">
        <v>76</v>
      </c>
      <c r="C71" s="443"/>
      <c r="D71" s="443"/>
      <c r="E71" s="443"/>
      <c r="F71" s="443"/>
      <c r="G71" s="443"/>
      <c r="H71" s="443"/>
      <c r="I71" s="443"/>
      <c r="J71" s="443"/>
      <c r="K71" s="443"/>
      <c r="L71" s="443"/>
      <c r="M71" s="444"/>
      <c r="N71" s="307"/>
    </row>
    <row r="72" spans="1:14" s="307" customFormat="1" ht="53.4" hidden="1" x14ac:dyDescent="0.35">
      <c r="A72" s="40" t="s">
        <v>77</v>
      </c>
      <c r="B72" s="314" t="s">
        <v>215</v>
      </c>
      <c r="C72" s="315" t="s">
        <v>216</v>
      </c>
      <c r="D72" s="316" t="s">
        <v>217</v>
      </c>
      <c r="E72" s="317"/>
      <c r="F72" s="317"/>
      <c r="G72" s="318"/>
      <c r="H72" s="318">
        <v>12363.271666666667</v>
      </c>
      <c r="I72" s="318">
        <v>12350</v>
      </c>
      <c r="J72" s="318">
        <v>54400</v>
      </c>
      <c r="K72" s="318">
        <v>66750</v>
      </c>
      <c r="L72" s="319">
        <v>23470</v>
      </c>
    </row>
    <row r="73" spans="1:14" s="307" customFormat="1" ht="31.8" hidden="1" x14ac:dyDescent="0.35">
      <c r="A73" s="40"/>
      <c r="B73" s="45"/>
      <c r="C73" s="53"/>
      <c r="D73" s="43" t="s">
        <v>218</v>
      </c>
      <c r="E73" s="42" t="s">
        <v>201</v>
      </c>
      <c r="F73" s="42">
        <v>0.1</v>
      </c>
      <c r="G73" s="44">
        <v>107863.75</v>
      </c>
      <c r="H73" s="44">
        <v>10786.375</v>
      </c>
      <c r="I73" s="44"/>
      <c r="J73" s="44"/>
      <c r="K73" s="44">
        <v>0</v>
      </c>
      <c r="L73" s="33"/>
    </row>
    <row r="74" spans="1:14" s="307" customFormat="1" ht="18" hidden="1" x14ac:dyDescent="0.35">
      <c r="A74" s="40"/>
      <c r="B74" s="45"/>
      <c r="C74" s="53"/>
      <c r="D74" s="43" t="s">
        <v>197</v>
      </c>
      <c r="E74" s="42" t="s">
        <v>185</v>
      </c>
      <c r="F74" s="42">
        <v>0.15</v>
      </c>
      <c r="G74" s="44">
        <v>3100</v>
      </c>
      <c r="H74" s="44">
        <v>465</v>
      </c>
      <c r="I74" s="44"/>
      <c r="J74" s="44"/>
      <c r="K74" s="44">
        <v>0</v>
      </c>
      <c r="L74" s="33"/>
    </row>
    <row r="75" spans="1:14" s="307" customFormat="1" ht="18" hidden="1" x14ac:dyDescent="0.35">
      <c r="A75" s="40"/>
      <c r="B75" s="45"/>
      <c r="C75" s="53"/>
      <c r="D75" s="43" t="s">
        <v>198</v>
      </c>
      <c r="E75" s="42" t="s">
        <v>185</v>
      </c>
      <c r="F75" s="42">
        <v>0.05</v>
      </c>
      <c r="G75" s="44">
        <v>4320</v>
      </c>
      <c r="H75" s="44">
        <v>216</v>
      </c>
      <c r="I75" s="44"/>
      <c r="J75" s="44"/>
      <c r="K75" s="44">
        <v>0</v>
      </c>
      <c r="L75" s="33"/>
    </row>
    <row r="76" spans="1:14" s="307" customFormat="1" ht="19.5" hidden="1" customHeight="1" x14ac:dyDescent="0.35">
      <c r="A76" s="40"/>
      <c r="B76" s="45"/>
      <c r="C76" s="53"/>
      <c r="D76" s="43" t="s">
        <v>219</v>
      </c>
      <c r="E76" s="42" t="s">
        <v>201</v>
      </c>
      <c r="F76" s="42">
        <v>0.1</v>
      </c>
      <c r="G76" s="44">
        <v>248.96666666666667</v>
      </c>
      <c r="H76" s="44">
        <v>24.896666666666668</v>
      </c>
      <c r="I76" s="44"/>
      <c r="J76" s="44"/>
      <c r="K76" s="44">
        <v>0</v>
      </c>
      <c r="L76" s="33"/>
    </row>
    <row r="77" spans="1:14" s="307" customFormat="1" ht="40.5" hidden="1" customHeight="1" x14ac:dyDescent="0.35">
      <c r="A77" s="40"/>
      <c r="B77" s="45"/>
      <c r="C77" s="53"/>
      <c r="D77" s="43" t="s">
        <v>196</v>
      </c>
      <c r="E77" s="42" t="s">
        <v>185</v>
      </c>
      <c r="F77" s="42">
        <v>0.1</v>
      </c>
      <c r="G77" s="44">
        <v>8400</v>
      </c>
      <c r="H77" s="44">
        <v>840</v>
      </c>
      <c r="I77" s="44"/>
      <c r="J77" s="44"/>
      <c r="K77" s="44">
        <v>0</v>
      </c>
      <c r="L77" s="33"/>
    </row>
    <row r="78" spans="1:14" s="307" customFormat="1" ht="18" hidden="1" x14ac:dyDescent="0.35">
      <c r="A78" s="40"/>
      <c r="B78" s="45"/>
      <c r="C78" s="53"/>
      <c r="D78" s="43" t="s">
        <v>202</v>
      </c>
      <c r="E78" s="42" t="s">
        <v>192</v>
      </c>
      <c r="F78" s="42">
        <v>1</v>
      </c>
      <c r="G78" s="48">
        <v>31</v>
      </c>
      <c r="H78" s="44">
        <v>31</v>
      </c>
      <c r="I78" s="44"/>
      <c r="J78" s="44"/>
      <c r="K78" s="44">
        <v>0</v>
      </c>
      <c r="L78" s="33"/>
    </row>
    <row r="79" spans="1:14" s="307" customFormat="1" ht="54" hidden="1" x14ac:dyDescent="0.35">
      <c r="A79" s="40" t="s">
        <v>78</v>
      </c>
      <c r="B79" s="41" t="s">
        <v>220</v>
      </c>
      <c r="C79" s="53" t="s">
        <v>216</v>
      </c>
      <c r="D79" s="54" t="s">
        <v>217</v>
      </c>
      <c r="E79" s="42"/>
      <c r="F79" s="42"/>
      <c r="G79" s="44"/>
      <c r="H79" s="44">
        <v>25107.046666666669</v>
      </c>
      <c r="I79" s="44">
        <v>25100</v>
      </c>
      <c r="J79" s="44">
        <v>81600</v>
      </c>
      <c r="K79" s="44">
        <v>106700</v>
      </c>
      <c r="L79" s="33">
        <v>41930</v>
      </c>
    </row>
    <row r="80" spans="1:14" s="307" customFormat="1" ht="31.8" hidden="1" x14ac:dyDescent="0.35">
      <c r="A80" s="40"/>
      <c r="B80" s="45"/>
      <c r="C80" s="42"/>
      <c r="D80" s="43" t="s">
        <v>218</v>
      </c>
      <c r="E80" s="42" t="s">
        <v>201</v>
      </c>
      <c r="F80" s="42">
        <v>0.2</v>
      </c>
      <c r="G80" s="44">
        <v>107863.75</v>
      </c>
      <c r="H80" s="44">
        <v>21572.75</v>
      </c>
      <c r="I80" s="44"/>
      <c r="J80" s="44"/>
      <c r="K80" s="44">
        <v>0</v>
      </c>
      <c r="L80" s="33"/>
    </row>
    <row r="81" spans="1:14" s="307" customFormat="1" ht="18" hidden="1" x14ac:dyDescent="0.35">
      <c r="A81" s="40"/>
      <c r="B81" s="45"/>
      <c r="C81" s="42"/>
      <c r="D81" s="43" t="s">
        <v>197</v>
      </c>
      <c r="E81" s="42" t="s">
        <v>185</v>
      </c>
      <c r="F81" s="42">
        <v>0.15</v>
      </c>
      <c r="G81" s="44">
        <v>3100</v>
      </c>
      <c r="H81" s="44">
        <v>465</v>
      </c>
      <c r="I81" s="44"/>
      <c r="J81" s="44"/>
      <c r="K81" s="44">
        <v>0</v>
      </c>
      <c r="L81" s="33"/>
    </row>
    <row r="82" spans="1:14" s="307" customFormat="1" ht="18" hidden="1" x14ac:dyDescent="0.35">
      <c r="A82" s="40"/>
      <c r="B82" s="45"/>
      <c r="C82" s="42"/>
      <c r="D82" s="43" t="s">
        <v>198</v>
      </c>
      <c r="E82" s="42" t="s">
        <v>185</v>
      </c>
      <c r="F82" s="42">
        <v>0.05</v>
      </c>
      <c r="G82" s="44">
        <v>4320</v>
      </c>
      <c r="H82" s="44">
        <v>216</v>
      </c>
      <c r="I82" s="44"/>
      <c r="J82" s="44"/>
      <c r="K82" s="44">
        <v>0</v>
      </c>
      <c r="L82" s="33"/>
    </row>
    <row r="83" spans="1:14" s="307" customFormat="1" ht="21" hidden="1" customHeight="1" x14ac:dyDescent="0.35">
      <c r="A83" s="40"/>
      <c r="B83" s="45"/>
      <c r="C83" s="42"/>
      <c r="D83" s="43" t="s">
        <v>219</v>
      </c>
      <c r="E83" s="42" t="s">
        <v>201</v>
      </c>
      <c r="F83" s="42">
        <v>0.1</v>
      </c>
      <c r="G83" s="44">
        <v>248.96666666666667</v>
      </c>
      <c r="H83" s="44">
        <v>24.896666666666668</v>
      </c>
      <c r="I83" s="44"/>
      <c r="J83" s="44"/>
      <c r="K83" s="44">
        <v>0</v>
      </c>
      <c r="L83" s="33"/>
    </row>
    <row r="84" spans="1:14" s="307" customFormat="1" ht="37.5" hidden="1" customHeight="1" x14ac:dyDescent="0.35">
      <c r="A84" s="40"/>
      <c r="B84" s="45"/>
      <c r="C84" s="42"/>
      <c r="D84" s="43" t="s">
        <v>196</v>
      </c>
      <c r="E84" s="42" t="s">
        <v>185</v>
      </c>
      <c r="F84" s="42">
        <v>0.1</v>
      </c>
      <c r="G84" s="44">
        <v>8400</v>
      </c>
      <c r="H84" s="44">
        <v>840</v>
      </c>
      <c r="I84" s="44"/>
      <c r="J84" s="44"/>
      <c r="K84" s="44">
        <v>0</v>
      </c>
      <c r="L84" s="33"/>
    </row>
    <row r="85" spans="1:14" s="307" customFormat="1" ht="18" hidden="1" x14ac:dyDescent="0.35">
      <c r="A85" s="40"/>
      <c r="B85" s="45"/>
      <c r="C85" s="42"/>
      <c r="D85" s="43" t="s">
        <v>194</v>
      </c>
      <c r="E85" s="42" t="s">
        <v>185</v>
      </c>
      <c r="F85" s="42">
        <v>0.1</v>
      </c>
      <c r="G85" s="44">
        <v>10270</v>
      </c>
      <c r="H85" s="44">
        <v>1027</v>
      </c>
      <c r="I85" s="44"/>
      <c r="J85" s="44"/>
      <c r="K85" s="44">
        <v>0</v>
      </c>
      <c r="L85" s="33"/>
    </row>
    <row r="86" spans="1:14" s="307" customFormat="1" ht="18" hidden="1" x14ac:dyDescent="0.35">
      <c r="A86" s="40"/>
      <c r="B86" s="45"/>
      <c r="C86" s="42"/>
      <c r="D86" s="43" t="s">
        <v>210</v>
      </c>
      <c r="E86" s="42" t="s">
        <v>185</v>
      </c>
      <c r="F86" s="42">
        <v>0.1</v>
      </c>
      <c r="G86" s="44">
        <v>9304</v>
      </c>
      <c r="H86" s="44">
        <v>930.40000000000009</v>
      </c>
      <c r="I86" s="44"/>
      <c r="J86" s="44"/>
      <c r="K86" s="44">
        <v>0</v>
      </c>
      <c r="L86" s="33"/>
    </row>
    <row r="87" spans="1:14" s="307" customFormat="1" ht="18" hidden="1" x14ac:dyDescent="0.35">
      <c r="A87" s="40"/>
      <c r="B87" s="45"/>
      <c r="C87" s="42"/>
      <c r="D87" s="43" t="s">
        <v>202</v>
      </c>
      <c r="E87" s="42" t="s">
        <v>192</v>
      </c>
      <c r="F87" s="42">
        <v>1</v>
      </c>
      <c r="G87" s="48">
        <v>31</v>
      </c>
      <c r="H87" s="44">
        <v>31</v>
      </c>
      <c r="I87" s="44"/>
      <c r="J87" s="44"/>
      <c r="K87" s="44">
        <v>0</v>
      </c>
      <c r="L87" s="33"/>
    </row>
    <row r="88" spans="1:14" s="55" customFormat="1" ht="90" x14ac:dyDescent="0.35">
      <c r="A88" s="29" t="s">
        <v>77</v>
      </c>
      <c r="B88" s="30" t="s">
        <v>79</v>
      </c>
      <c r="C88" s="31"/>
      <c r="D88" s="34"/>
      <c r="E88" s="31"/>
      <c r="F88" s="31"/>
      <c r="G88" s="33"/>
      <c r="H88" s="33"/>
      <c r="I88" s="33"/>
      <c r="J88" s="33"/>
      <c r="K88" s="33"/>
      <c r="L88" s="33"/>
      <c r="M88" s="158"/>
      <c r="N88" s="307"/>
    </row>
    <row r="89" spans="1:14" s="307" customFormat="1" ht="36" x14ac:dyDescent="0.35">
      <c r="A89" s="29" t="s">
        <v>80</v>
      </c>
      <c r="B89" s="30" t="s">
        <v>81</v>
      </c>
      <c r="C89" s="31" t="s">
        <v>51</v>
      </c>
      <c r="D89" s="34"/>
      <c r="E89" s="31"/>
      <c r="F89" s="31"/>
      <c r="G89" s="33"/>
      <c r="H89" s="33">
        <v>3945.8</v>
      </c>
      <c r="I89" s="153">
        <v>0.4</v>
      </c>
      <c r="J89" s="153">
        <v>4.3499999999999996</v>
      </c>
      <c r="K89" s="153">
        <f>I89+J89</f>
        <v>4.75</v>
      </c>
      <c r="L89" s="33">
        <v>47500</v>
      </c>
      <c r="M89" s="33">
        <v>47500</v>
      </c>
    </row>
    <row r="90" spans="1:14" s="307" customFormat="1" ht="18" hidden="1" x14ac:dyDescent="0.35">
      <c r="A90" s="29"/>
      <c r="B90" s="27"/>
      <c r="C90" s="31"/>
      <c r="D90" s="34" t="s">
        <v>194</v>
      </c>
      <c r="E90" s="31" t="s">
        <v>185</v>
      </c>
      <c r="F90" s="31">
        <v>0.2</v>
      </c>
      <c r="G90" s="33">
        <v>10270</v>
      </c>
      <c r="H90" s="33">
        <v>2054</v>
      </c>
      <c r="I90" s="33"/>
      <c r="J90" s="33"/>
      <c r="K90" s="153">
        <f t="shared" ref="K90:K115" si="1">I90+J90</f>
        <v>0</v>
      </c>
      <c r="L90" s="33"/>
    </row>
    <row r="91" spans="1:14" s="307" customFormat="1" ht="18" hidden="1" x14ac:dyDescent="0.35">
      <c r="A91" s="29"/>
      <c r="B91" s="27"/>
      <c r="C91" s="31"/>
      <c r="D91" s="34" t="s">
        <v>210</v>
      </c>
      <c r="E91" s="31" t="s">
        <v>185</v>
      </c>
      <c r="F91" s="31">
        <v>0.2</v>
      </c>
      <c r="G91" s="33">
        <v>9304</v>
      </c>
      <c r="H91" s="33">
        <v>1860.8000000000002</v>
      </c>
      <c r="I91" s="33"/>
      <c r="J91" s="33"/>
      <c r="K91" s="153">
        <f t="shared" si="1"/>
        <v>0</v>
      </c>
      <c r="L91" s="33"/>
    </row>
    <row r="92" spans="1:14" s="307" customFormat="1" ht="23.25" hidden="1" customHeight="1" x14ac:dyDescent="0.35">
      <c r="A92" s="29"/>
      <c r="B92" s="27"/>
      <c r="C92" s="31"/>
      <c r="D92" s="34" t="s">
        <v>208</v>
      </c>
      <c r="E92" s="31" t="s">
        <v>185</v>
      </c>
      <c r="F92" s="31" t="s">
        <v>209</v>
      </c>
      <c r="G92" s="33">
        <v>0</v>
      </c>
      <c r="H92" s="33"/>
      <c r="I92" s="33"/>
      <c r="J92" s="33"/>
      <c r="K92" s="153">
        <f t="shared" si="1"/>
        <v>0</v>
      </c>
      <c r="L92" s="33"/>
    </row>
    <row r="93" spans="1:14" s="307" customFormat="1" ht="18" hidden="1" x14ac:dyDescent="0.35">
      <c r="A93" s="29"/>
      <c r="B93" s="27"/>
      <c r="C93" s="31"/>
      <c r="D93" s="34" t="s">
        <v>202</v>
      </c>
      <c r="E93" s="31" t="s">
        <v>192</v>
      </c>
      <c r="F93" s="31">
        <v>1</v>
      </c>
      <c r="G93" s="48">
        <v>31</v>
      </c>
      <c r="H93" s="33">
        <v>31</v>
      </c>
      <c r="I93" s="33"/>
      <c r="J93" s="33"/>
      <c r="K93" s="153">
        <f t="shared" si="1"/>
        <v>0</v>
      </c>
      <c r="L93" s="33"/>
    </row>
    <row r="94" spans="1:14" s="307" customFormat="1" ht="36" x14ac:dyDescent="0.35">
      <c r="A94" s="29" t="s">
        <v>82</v>
      </c>
      <c r="B94" s="30" t="s">
        <v>83</v>
      </c>
      <c r="C94" s="31" t="s">
        <v>51</v>
      </c>
      <c r="D94" s="34"/>
      <c r="E94" s="31"/>
      <c r="F94" s="31"/>
      <c r="G94" s="33"/>
      <c r="H94" s="33">
        <v>4924.5</v>
      </c>
      <c r="I94" s="153">
        <v>0.5</v>
      </c>
      <c r="J94" s="153">
        <v>6.53</v>
      </c>
      <c r="K94" s="153">
        <f t="shared" si="1"/>
        <v>7.03</v>
      </c>
      <c r="L94" s="33">
        <v>70300</v>
      </c>
      <c r="M94" s="33">
        <v>70300</v>
      </c>
    </row>
    <row r="95" spans="1:14" s="307" customFormat="1" ht="18" hidden="1" x14ac:dyDescent="0.35">
      <c r="A95" s="29"/>
      <c r="B95" s="27"/>
      <c r="C95" s="31"/>
      <c r="D95" s="34" t="s">
        <v>194</v>
      </c>
      <c r="E95" s="31" t="s">
        <v>185</v>
      </c>
      <c r="F95" s="31">
        <v>0.25</v>
      </c>
      <c r="G95" s="33">
        <v>10270</v>
      </c>
      <c r="H95" s="33">
        <v>2567.5</v>
      </c>
      <c r="I95" s="153"/>
      <c r="J95" s="153"/>
      <c r="K95" s="153">
        <f t="shared" si="1"/>
        <v>0</v>
      </c>
      <c r="L95" s="33"/>
    </row>
    <row r="96" spans="1:14" s="307" customFormat="1" ht="18" hidden="1" x14ac:dyDescent="0.35">
      <c r="A96" s="29"/>
      <c r="B96" s="27"/>
      <c r="C96" s="31"/>
      <c r="D96" s="34" t="s">
        <v>210</v>
      </c>
      <c r="E96" s="31" t="s">
        <v>185</v>
      </c>
      <c r="F96" s="31">
        <v>0.25</v>
      </c>
      <c r="G96" s="33">
        <v>9304</v>
      </c>
      <c r="H96" s="33">
        <v>2326</v>
      </c>
      <c r="I96" s="153"/>
      <c r="J96" s="153"/>
      <c r="K96" s="153">
        <f t="shared" si="1"/>
        <v>0</v>
      </c>
      <c r="L96" s="33"/>
    </row>
    <row r="97" spans="1:13" s="307" customFormat="1" ht="18" hidden="1" x14ac:dyDescent="0.35">
      <c r="A97" s="29"/>
      <c r="B97" s="27"/>
      <c r="C97" s="31"/>
      <c r="D97" s="34" t="s">
        <v>208</v>
      </c>
      <c r="E97" s="31" t="s">
        <v>185</v>
      </c>
      <c r="F97" s="31" t="s">
        <v>221</v>
      </c>
      <c r="G97" s="33">
        <v>0</v>
      </c>
      <c r="H97" s="33"/>
      <c r="I97" s="153"/>
      <c r="J97" s="153"/>
      <c r="K97" s="153">
        <f t="shared" si="1"/>
        <v>0</v>
      </c>
      <c r="L97" s="33"/>
    </row>
    <row r="98" spans="1:13" s="307" customFormat="1" ht="18" hidden="1" x14ac:dyDescent="0.35">
      <c r="A98" s="29"/>
      <c r="B98" s="27"/>
      <c r="C98" s="31"/>
      <c r="D98" s="34" t="s">
        <v>202</v>
      </c>
      <c r="E98" s="31" t="s">
        <v>192</v>
      </c>
      <c r="F98" s="31">
        <v>1</v>
      </c>
      <c r="G98" s="48">
        <v>31</v>
      </c>
      <c r="H98" s="33">
        <v>31</v>
      </c>
      <c r="I98" s="153"/>
      <c r="J98" s="153"/>
      <c r="K98" s="153">
        <f t="shared" si="1"/>
        <v>0</v>
      </c>
      <c r="L98" s="33"/>
    </row>
    <row r="99" spans="1:13" s="307" customFormat="1" ht="36" x14ac:dyDescent="0.35">
      <c r="A99" s="29" t="s">
        <v>84</v>
      </c>
      <c r="B99" s="30" t="s">
        <v>85</v>
      </c>
      <c r="C99" s="31" t="s">
        <v>51</v>
      </c>
      <c r="D99" s="34"/>
      <c r="E99" s="31"/>
      <c r="F99" s="31"/>
      <c r="G99" s="33"/>
      <c r="H99" s="33">
        <v>6555.0141999999996</v>
      </c>
      <c r="I99" s="153">
        <v>0.66</v>
      </c>
      <c r="J99" s="153">
        <v>9.8000000000000007</v>
      </c>
      <c r="K99" s="153">
        <f t="shared" si="1"/>
        <v>10.46</v>
      </c>
      <c r="L99" s="33">
        <v>104600</v>
      </c>
      <c r="M99" s="33">
        <v>104600</v>
      </c>
    </row>
    <row r="100" spans="1:13" s="307" customFormat="1" ht="18" hidden="1" x14ac:dyDescent="0.35">
      <c r="A100" s="29"/>
      <c r="B100" s="27"/>
      <c r="C100" s="31"/>
      <c r="D100" s="34" t="s">
        <v>194</v>
      </c>
      <c r="E100" s="31" t="s">
        <v>185</v>
      </c>
      <c r="F100" s="31">
        <v>0.33329999999999999</v>
      </c>
      <c r="G100" s="33">
        <v>10270</v>
      </c>
      <c r="H100" s="33">
        <v>3422.991</v>
      </c>
      <c r="I100" s="153"/>
      <c r="J100" s="153"/>
      <c r="K100" s="153">
        <f t="shared" si="1"/>
        <v>0</v>
      </c>
      <c r="L100" s="33"/>
    </row>
    <row r="101" spans="1:13" s="307" customFormat="1" ht="18" hidden="1" x14ac:dyDescent="0.35">
      <c r="A101" s="29"/>
      <c r="B101" s="27"/>
      <c r="C101" s="31"/>
      <c r="D101" s="34" t="s">
        <v>210</v>
      </c>
      <c r="E101" s="31" t="s">
        <v>185</v>
      </c>
      <c r="F101" s="31">
        <v>0.33329999999999999</v>
      </c>
      <c r="G101" s="33">
        <v>9304</v>
      </c>
      <c r="H101" s="33">
        <v>3101.0232000000001</v>
      </c>
      <c r="I101" s="153"/>
      <c r="J101" s="153"/>
      <c r="K101" s="153">
        <f t="shared" si="1"/>
        <v>0</v>
      </c>
      <c r="L101" s="33"/>
    </row>
    <row r="102" spans="1:13" s="307" customFormat="1" ht="18" hidden="1" x14ac:dyDescent="0.35">
      <c r="A102" s="29"/>
      <c r="B102" s="27"/>
      <c r="C102" s="31"/>
      <c r="D102" s="34" t="s">
        <v>208</v>
      </c>
      <c r="E102" s="31" t="s">
        <v>185</v>
      </c>
      <c r="F102" s="31" t="s">
        <v>221</v>
      </c>
      <c r="G102" s="33">
        <v>0</v>
      </c>
      <c r="H102" s="33"/>
      <c r="I102" s="153"/>
      <c r="J102" s="153"/>
      <c r="K102" s="153">
        <f t="shared" si="1"/>
        <v>0</v>
      </c>
      <c r="L102" s="33"/>
    </row>
    <row r="103" spans="1:13" s="307" customFormat="1" ht="18" hidden="1" x14ac:dyDescent="0.35">
      <c r="A103" s="29"/>
      <c r="B103" s="27"/>
      <c r="C103" s="31"/>
      <c r="D103" s="34" t="s">
        <v>202</v>
      </c>
      <c r="E103" s="31" t="s">
        <v>192</v>
      </c>
      <c r="F103" s="31">
        <v>1</v>
      </c>
      <c r="G103" s="48">
        <v>31</v>
      </c>
      <c r="H103" s="33">
        <v>31</v>
      </c>
      <c r="I103" s="153"/>
      <c r="J103" s="153"/>
      <c r="K103" s="153">
        <f t="shared" si="1"/>
        <v>0</v>
      </c>
      <c r="L103" s="33"/>
    </row>
    <row r="104" spans="1:13" s="307" customFormat="1" ht="36" x14ac:dyDescent="0.35">
      <c r="A104" s="29" t="s">
        <v>86</v>
      </c>
      <c r="B104" s="30" t="s">
        <v>87</v>
      </c>
      <c r="C104" s="31" t="s">
        <v>51</v>
      </c>
      <c r="D104" s="34"/>
      <c r="E104" s="31"/>
      <c r="F104" s="31"/>
      <c r="G104" s="33"/>
      <c r="H104" s="33">
        <v>9818</v>
      </c>
      <c r="I104" s="153">
        <v>0.98</v>
      </c>
      <c r="J104" s="153">
        <v>12.52</v>
      </c>
      <c r="K104" s="153">
        <f t="shared" si="1"/>
        <v>13.5</v>
      </c>
      <c r="L104" s="33">
        <v>135000</v>
      </c>
      <c r="M104" s="33">
        <v>135000</v>
      </c>
    </row>
    <row r="105" spans="1:13" s="307" customFormat="1" ht="18" hidden="1" x14ac:dyDescent="0.35">
      <c r="A105" s="29"/>
      <c r="B105" s="27"/>
      <c r="C105" s="31"/>
      <c r="D105" s="34" t="s">
        <v>194</v>
      </c>
      <c r="E105" s="31" t="s">
        <v>185</v>
      </c>
      <c r="F105" s="31">
        <v>0.5</v>
      </c>
      <c r="G105" s="33">
        <v>10270</v>
      </c>
      <c r="H105" s="33">
        <v>5135</v>
      </c>
      <c r="I105" s="153"/>
      <c r="J105" s="153"/>
      <c r="K105" s="153">
        <f t="shared" si="1"/>
        <v>0</v>
      </c>
      <c r="L105" s="33"/>
    </row>
    <row r="106" spans="1:13" s="307" customFormat="1" ht="18" hidden="1" x14ac:dyDescent="0.35">
      <c r="A106" s="29"/>
      <c r="B106" s="27"/>
      <c r="C106" s="31"/>
      <c r="D106" s="34" t="s">
        <v>210</v>
      </c>
      <c r="E106" s="31" t="s">
        <v>185</v>
      </c>
      <c r="F106" s="31">
        <v>0.5</v>
      </c>
      <c r="G106" s="33">
        <v>9304</v>
      </c>
      <c r="H106" s="33">
        <v>4652</v>
      </c>
      <c r="I106" s="153"/>
      <c r="J106" s="153"/>
      <c r="K106" s="153">
        <f t="shared" si="1"/>
        <v>0</v>
      </c>
      <c r="L106" s="33"/>
    </row>
    <row r="107" spans="1:13" s="307" customFormat="1" ht="18" hidden="1" x14ac:dyDescent="0.35">
      <c r="A107" s="29"/>
      <c r="B107" s="27"/>
      <c r="C107" s="31"/>
      <c r="D107" s="34" t="s">
        <v>208</v>
      </c>
      <c r="E107" s="31" t="s">
        <v>185</v>
      </c>
      <c r="F107" s="31" t="s">
        <v>222</v>
      </c>
      <c r="G107" s="33">
        <v>0</v>
      </c>
      <c r="H107" s="33"/>
      <c r="I107" s="153"/>
      <c r="J107" s="153"/>
      <c r="K107" s="153">
        <f t="shared" si="1"/>
        <v>0</v>
      </c>
      <c r="L107" s="33"/>
    </row>
    <row r="108" spans="1:13" s="307" customFormat="1" ht="18" hidden="1" x14ac:dyDescent="0.35">
      <c r="A108" s="29"/>
      <c r="B108" s="27"/>
      <c r="C108" s="31"/>
      <c r="D108" s="34" t="s">
        <v>202</v>
      </c>
      <c r="E108" s="31" t="s">
        <v>192</v>
      </c>
      <c r="F108" s="31">
        <v>1</v>
      </c>
      <c r="G108" s="48">
        <v>31</v>
      </c>
      <c r="H108" s="33">
        <v>31</v>
      </c>
      <c r="I108" s="153"/>
      <c r="J108" s="153"/>
      <c r="K108" s="153">
        <f t="shared" si="1"/>
        <v>0</v>
      </c>
      <c r="L108" s="33"/>
    </row>
    <row r="109" spans="1:13" s="307" customFormat="1" ht="36" hidden="1" x14ac:dyDescent="0.35">
      <c r="A109" s="29" t="s">
        <v>78</v>
      </c>
      <c r="B109" s="30" t="s">
        <v>88</v>
      </c>
      <c r="C109" s="56" t="s">
        <v>89</v>
      </c>
      <c r="D109" s="57" t="s">
        <v>223</v>
      </c>
      <c r="E109" s="31"/>
      <c r="F109" s="31"/>
      <c r="G109" s="33"/>
      <c r="H109" s="58">
        <v>21.548750000000002</v>
      </c>
      <c r="I109" s="153"/>
      <c r="J109" s="153">
        <v>4.3499999999999996</v>
      </c>
      <c r="K109" s="153">
        <f t="shared" si="1"/>
        <v>4.3499999999999996</v>
      </c>
      <c r="L109" s="33">
        <v>43500</v>
      </c>
      <c r="M109" s="33">
        <v>43500</v>
      </c>
    </row>
    <row r="110" spans="1:13" s="307" customFormat="1" ht="18" hidden="1" x14ac:dyDescent="0.35">
      <c r="A110" s="29"/>
      <c r="B110" s="27"/>
      <c r="C110" s="31"/>
      <c r="D110" s="34" t="s">
        <v>224</v>
      </c>
      <c r="E110" s="31" t="s">
        <v>201</v>
      </c>
      <c r="F110" s="31">
        <v>0.3</v>
      </c>
      <c r="G110" s="33">
        <v>69.462500000000006</v>
      </c>
      <c r="H110" s="33">
        <v>20.838750000000001</v>
      </c>
      <c r="I110" s="153"/>
      <c r="J110" s="153"/>
      <c r="K110" s="153">
        <f t="shared" si="1"/>
        <v>0</v>
      </c>
      <c r="L110" s="33"/>
    </row>
    <row r="111" spans="1:13" s="307" customFormat="1" ht="31.8" hidden="1" x14ac:dyDescent="0.35">
      <c r="A111" s="29"/>
      <c r="B111" s="27"/>
      <c r="C111" s="31"/>
      <c r="D111" s="34" t="s">
        <v>225</v>
      </c>
      <c r="E111" s="31" t="s">
        <v>185</v>
      </c>
      <c r="F111" s="31">
        <v>1E-3</v>
      </c>
      <c r="G111" s="33">
        <v>710</v>
      </c>
      <c r="H111" s="320">
        <v>0.71</v>
      </c>
      <c r="I111" s="153"/>
      <c r="J111" s="153"/>
      <c r="K111" s="153">
        <f t="shared" si="1"/>
        <v>0</v>
      </c>
      <c r="L111" s="33"/>
    </row>
    <row r="112" spans="1:13" s="307" customFormat="1" ht="39" customHeight="1" x14ac:dyDescent="0.35">
      <c r="A112" s="445" t="s">
        <v>78</v>
      </c>
      <c r="B112" s="448" t="s">
        <v>91</v>
      </c>
      <c r="C112" s="56" t="s">
        <v>230</v>
      </c>
      <c r="D112" s="57" t="s">
        <v>226</v>
      </c>
      <c r="E112" s="31"/>
      <c r="F112" s="31"/>
      <c r="G112" s="33"/>
      <c r="H112" s="33">
        <v>1846.9399999999998</v>
      </c>
      <c r="I112" s="153">
        <v>0.15</v>
      </c>
      <c r="J112" s="153">
        <v>5.44</v>
      </c>
      <c r="K112" s="153">
        <f t="shared" si="1"/>
        <v>5.5900000000000007</v>
      </c>
      <c r="L112" s="33">
        <v>56300</v>
      </c>
      <c r="M112" s="33">
        <v>55900</v>
      </c>
    </row>
    <row r="113" spans="1:14" s="307" customFormat="1" ht="43.2" customHeight="1" x14ac:dyDescent="0.35">
      <c r="A113" s="446"/>
      <c r="B113" s="449"/>
      <c r="C113" s="300" t="s">
        <v>446</v>
      </c>
      <c r="D113" s="34" t="s">
        <v>227</v>
      </c>
      <c r="E113" s="31" t="s">
        <v>201</v>
      </c>
      <c r="F113" s="31">
        <v>0.3</v>
      </c>
      <c r="G113" s="33">
        <v>6156.4666666666662</v>
      </c>
      <c r="H113" s="33">
        <v>1846.9399999999998</v>
      </c>
      <c r="I113" s="153">
        <v>0.96</v>
      </c>
      <c r="J113" s="153">
        <v>5.44</v>
      </c>
      <c r="K113" s="153">
        <f t="shared" si="1"/>
        <v>6.4</v>
      </c>
      <c r="L113" s="33"/>
    </row>
    <row r="114" spans="1:14" s="307" customFormat="1" ht="33.6" customHeight="1" x14ac:dyDescent="0.35">
      <c r="A114" s="446"/>
      <c r="B114" s="449"/>
      <c r="C114" s="59" t="s">
        <v>228</v>
      </c>
      <c r="D114" s="60" t="s">
        <v>229</v>
      </c>
      <c r="E114" s="38"/>
      <c r="F114" s="38"/>
      <c r="G114" s="61"/>
      <c r="H114" s="33">
        <v>8061.5519999999997</v>
      </c>
      <c r="I114" s="153">
        <v>0.81</v>
      </c>
      <c r="J114" s="153">
        <v>5.44</v>
      </c>
      <c r="K114" s="153">
        <f t="shared" si="1"/>
        <v>6.25</v>
      </c>
      <c r="L114" s="33">
        <v>62500</v>
      </c>
      <c r="M114" s="33">
        <v>62500</v>
      </c>
    </row>
    <row r="115" spans="1:14" s="307" customFormat="1" ht="35.4" x14ac:dyDescent="0.35">
      <c r="A115" s="447"/>
      <c r="B115" s="450"/>
      <c r="C115" s="300" t="s">
        <v>447</v>
      </c>
      <c r="D115" s="39" t="s">
        <v>227</v>
      </c>
      <c r="E115" s="38" t="s">
        <v>201</v>
      </c>
      <c r="F115" s="38">
        <v>0.3</v>
      </c>
      <c r="G115" s="35">
        <v>26871.84</v>
      </c>
      <c r="H115" s="33">
        <v>8061.5519999999997</v>
      </c>
      <c r="I115" s="153">
        <v>0.4</v>
      </c>
      <c r="J115" s="153">
        <v>5.44</v>
      </c>
      <c r="K115" s="153">
        <f t="shared" si="1"/>
        <v>5.8400000000000007</v>
      </c>
      <c r="L115" s="33"/>
    </row>
    <row r="116" spans="1:14" s="307" customFormat="1" ht="38.25" hidden="1" customHeight="1" x14ac:dyDescent="0.35">
      <c r="A116" s="40"/>
      <c r="B116" s="45"/>
      <c r="C116" s="53" t="s">
        <v>230</v>
      </c>
      <c r="D116" s="54" t="s">
        <v>231</v>
      </c>
      <c r="E116" s="42"/>
      <c r="F116" s="42"/>
      <c r="G116" s="44"/>
      <c r="H116" s="44">
        <v>639.19999999999993</v>
      </c>
      <c r="I116" s="44">
        <v>650</v>
      </c>
      <c r="J116" s="44">
        <v>54400</v>
      </c>
      <c r="K116" s="44">
        <v>55050</v>
      </c>
      <c r="L116" s="33"/>
    </row>
    <row r="117" spans="1:14" s="307" customFormat="1" ht="38.25" hidden="1" customHeight="1" x14ac:dyDescent="0.35">
      <c r="A117" s="40"/>
      <c r="B117" s="45"/>
      <c r="C117" s="42"/>
      <c r="D117" s="43" t="s">
        <v>227</v>
      </c>
      <c r="E117" s="42" t="s">
        <v>201</v>
      </c>
      <c r="F117" s="42">
        <v>0.3</v>
      </c>
      <c r="G117" s="44">
        <v>2130.6666666666665</v>
      </c>
      <c r="H117" s="44">
        <v>639.19999999999993</v>
      </c>
      <c r="I117" s="44"/>
      <c r="J117" s="44"/>
      <c r="K117" s="44">
        <v>0</v>
      </c>
      <c r="L117" s="33"/>
    </row>
    <row r="118" spans="1:14" s="307" customFormat="1" ht="36" hidden="1" x14ac:dyDescent="0.35">
      <c r="A118" s="40" t="s">
        <v>232</v>
      </c>
      <c r="B118" s="41" t="s">
        <v>233</v>
      </c>
      <c r="C118" s="53" t="s">
        <v>234</v>
      </c>
      <c r="D118" s="54" t="s">
        <v>235</v>
      </c>
      <c r="E118" s="42"/>
      <c r="F118" s="42"/>
      <c r="G118" s="44"/>
      <c r="H118" s="44">
        <v>227.3125</v>
      </c>
      <c r="I118" s="44">
        <v>250</v>
      </c>
      <c r="J118" s="44">
        <v>43500</v>
      </c>
      <c r="K118" s="44">
        <v>43750</v>
      </c>
      <c r="L118" s="33">
        <v>2140</v>
      </c>
    </row>
    <row r="119" spans="1:14" s="307" customFormat="1" ht="47.4" hidden="1" x14ac:dyDescent="0.35">
      <c r="A119" s="40"/>
      <c r="B119" s="322"/>
      <c r="C119" s="323"/>
      <c r="D119" s="324" t="s">
        <v>236</v>
      </c>
      <c r="E119" s="323" t="s">
        <v>201</v>
      </c>
      <c r="F119" s="323">
        <v>0.1</v>
      </c>
      <c r="G119" s="325">
        <v>2273.125</v>
      </c>
      <c r="H119" s="325">
        <v>227.3125</v>
      </c>
      <c r="I119" s="325"/>
      <c r="J119" s="325"/>
      <c r="K119" s="325">
        <v>0</v>
      </c>
      <c r="L119" s="312"/>
    </row>
    <row r="120" spans="1:14" s="55" customFormat="1" ht="18" customHeight="1" x14ac:dyDescent="0.25">
      <c r="A120" s="29" t="s">
        <v>90</v>
      </c>
      <c r="B120" s="451" t="s">
        <v>93</v>
      </c>
      <c r="C120" s="452"/>
      <c r="D120" s="452"/>
      <c r="E120" s="452"/>
      <c r="F120" s="452"/>
      <c r="G120" s="452"/>
      <c r="H120" s="452"/>
      <c r="I120" s="452"/>
      <c r="J120" s="452"/>
      <c r="K120" s="452"/>
      <c r="L120" s="452"/>
      <c r="M120" s="453"/>
      <c r="N120" s="307"/>
    </row>
    <row r="121" spans="1:14" s="307" customFormat="1" ht="36" x14ac:dyDescent="0.35">
      <c r="A121" s="29" t="s">
        <v>448</v>
      </c>
      <c r="B121" s="30" t="s">
        <v>95</v>
      </c>
      <c r="C121" s="31" t="s">
        <v>51</v>
      </c>
      <c r="D121" s="32"/>
      <c r="E121" s="31"/>
      <c r="F121" s="31"/>
      <c r="G121" s="33"/>
      <c r="H121" s="33">
        <v>4924.5</v>
      </c>
      <c r="I121" s="153">
        <v>0.49</v>
      </c>
      <c r="J121" s="153">
        <v>6.53</v>
      </c>
      <c r="K121" s="153">
        <f t="shared" ref="K121:K192" si="2">I121+J121</f>
        <v>7.0200000000000005</v>
      </c>
      <c r="L121" s="33">
        <v>70200</v>
      </c>
      <c r="M121" s="33">
        <v>70200</v>
      </c>
    </row>
    <row r="122" spans="1:14" s="307" customFormat="1" ht="18" hidden="1" x14ac:dyDescent="0.35">
      <c r="A122" s="29"/>
      <c r="B122" s="27"/>
      <c r="C122" s="31"/>
      <c r="D122" s="34" t="s">
        <v>194</v>
      </c>
      <c r="E122" s="31" t="s">
        <v>185</v>
      </c>
      <c r="F122" s="31">
        <v>0.25</v>
      </c>
      <c r="G122" s="33">
        <v>10270</v>
      </c>
      <c r="H122" s="33">
        <v>2567.5</v>
      </c>
      <c r="I122" s="33"/>
      <c r="J122" s="33"/>
      <c r="K122" s="153">
        <f t="shared" si="2"/>
        <v>0</v>
      </c>
      <c r="L122" s="33"/>
      <c r="M122" s="328"/>
    </row>
    <row r="123" spans="1:14" s="307" customFormat="1" ht="18" hidden="1" x14ac:dyDescent="0.35">
      <c r="A123" s="29"/>
      <c r="B123" s="27"/>
      <c r="C123" s="31"/>
      <c r="D123" s="34" t="s">
        <v>210</v>
      </c>
      <c r="E123" s="31" t="s">
        <v>185</v>
      </c>
      <c r="F123" s="31">
        <v>0.25</v>
      </c>
      <c r="G123" s="33">
        <v>9304</v>
      </c>
      <c r="H123" s="33">
        <v>2326</v>
      </c>
      <c r="I123" s="33"/>
      <c r="J123" s="33"/>
      <c r="K123" s="153">
        <f t="shared" si="2"/>
        <v>0</v>
      </c>
      <c r="L123" s="33"/>
      <c r="M123" s="328"/>
    </row>
    <row r="124" spans="1:14" s="307" customFormat="1" ht="18" hidden="1" x14ac:dyDescent="0.35">
      <c r="A124" s="29"/>
      <c r="B124" s="27"/>
      <c r="C124" s="31"/>
      <c r="D124" s="34" t="s">
        <v>208</v>
      </c>
      <c r="E124" s="31" t="s">
        <v>185</v>
      </c>
      <c r="F124" s="31">
        <v>0.25</v>
      </c>
      <c r="G124" s="33">
        <v>0</v>
      </c>
      <c r="H124" s="33"/>
      <c r="I124" s="33"/>
      <c r="J124" s="33"/>
      <c r="K124" s="153">
        <f t="shared" si="2"/>
        <v>0</v>
      </c>
      <c r="L124" s="33"/>
      <c r="M124" s="328"/>
    </row>
    <row r="125" spans="1:14" s="307" customFormat="1" ht="18" hidden="1" x14ac:dyDescent="0.35">
      <c r="A125" s="29"/>
      <c r="B125" s="27"/>
      <c r="C125" s="31"/>
      <c r="D125" s="34" t="s">
        <v>202</v>
      </c>
      <c r="E125" s="31" t="s">
        <v>192</v>
      </c>
      <c r="F125" s="31">
        <v>1</v>
      </c>
      <c r="G125" s="48">
        <v>31</v>
      </c>
      <c r="H125" s="33">
        <v>31</v>
      </c>
      <c r="I125" s="33"/>
      <c r="J125" s="33"/>
      <c r="K125" s="153">
        <f t="shared" si="2"/>
        <v>0</v>
      </c>
      <c r="L125" s="33"/>
      <c r="M125" s="328"/>
    </row>
    <row r="126" spans="1:14" s="307" customFormat="1" ht="36" x14ac:dyDescent="0.35">
      <c r="A126" s="29" t="s">
        <v>449</v>
      </c>
      <c r="B126" s="30" t="s">
        <v>97</v>
      </c>
      <c r="C126" s="31" t="s">
        <v>51</v>
      </c>
      <c r="D126" s="34"/>
      <c r="E126" s="31"/>
      <c r="F126" s="31"/>
      <c r="G126" s="33"/>
      <c r="H126" s="33">
        <v>9818</v>
      </c>
      <c r="I126" s="153">
        <v>0.98</v>
      </c>
      <c r="J126" s="153">
        <v>9.8000000000000007</v>
      </c>
      <c r="K126" s="153">
        <f t="shared" si="2"/>
        <v>10.780000000000001</v>
      </c>
      <c r="L126" s="33">
        <v>107800</v>
      </c>
      <c r="M126" s="33">
        <v>107800</v>
      </c>
    </row>
    <row r="127" spans="1:14" s="307" customFormat="1" ht="18" hidden="1" x14ac:dyDescent="0.35">
      <c r="A127" s="29"/>
      <c r="B127" s="27"/>
      <c r="C127" s="31"/>
      <c r="D127" s="34" t="s">
        <v>194</v>
      </c>
      <c r="E127" s="31" t="s">
        <v>185</v>
      </c>
      <c r="F127" s="31">
        <v>0.5</v>
      </c>
      <c r="G127" s="33">
        <v>10270</v>
      </c>
      <c r="H127" s="33">
        <v>5135</v>
      </c>
      <c r="I127" s="153"/>
      <c r="J127" s="153"/>
      <c r="K127" s="153">
        <f t="shared" si="2"/>
        <v>0</v>
      </c>
      <c r="L127" s="33"/>
      <c r="M127" s="328"/>
    </row>
    <row r="128" spans="1:14" s="307" customFormat="1" ht="18" hidden="1" x14ac:dyDescent="0.35">
      <c r="A128" s="29"/>
      <c r="B128" s="27"/>
      <c r="C128" s="31"/>
      <c r="D128" s="34" t="s">
        <v>210</v>
      </c>
      <c r="E128" s="31" t="s">
        <v>185</v>
      </c>
      <c r="F128" s="31">
        <v>0.5</v>
      </c>
      <c r="G128" s="33">
        <v>9304</v>
      </c>
      <c r="H128" s="33">
        <v>4652</v>
      </c>
      <c r="I128" s="153"/>
      <c r="J128" s="153"/>
      <c r="K128" s="153">
        <f t="shared" si="2"/>
        <v>0</v>
      </c>
      <c r="L128" s="33"/>
      <c r="M128" s="328"/>
    </row>
    <row r="129" spans="1:13" s="307" customFormat="1" ht="18" hidden="1" x14ac:dyDescent="0.35">
      <c r="A129" s="29"/>
      <c r="B129" s="27"/>
      <c r="C129" s="31"/>
      <c r="D129" s="34" t="s">
        <v>208</v>
      </c>
      <c r="E129" s="31" t="s">
        <v>185</v>
      </c>
      <c r="F129" s="31" t="s">
        <v>222</v>
      </c>
      <c r="G129" s="33">
        <v>0</v>
      </c>
      <c r="H129" s="33"/>
      <c r="I129" s="153"/>
      <c r="J129" s="153"/>
      <c r="K129" s="153">
        <f t="shared" si="2"/>
        <v>0</v>
      </c>
      <c r="L129" s="33"/>
      <c r="M129" s="328"/>
    </row>
    <row r="130" spans="1:13" s="307" customFormat="1" ht="18" hidden="1" x14ac:dyDescent="0.35">
      <c r="A130" s="29"/>
      <c r="B130" s="27"/>
      <c r="C130" s="31"/>
      <c r="D130" s="34" t="s">
        <v>202</v>
      </c>
      <c r="E130" s="31" t="s">
        <v>192</v>
      </c>
      <c r="F130" s="31">
        <v>1</v>
      </c>
      <c r="G130" s="48">
        <v>31</v>
      </c>
      <c r="H130" s="33">
        <v>31</v>
      </c>
      <c r="I130" s="153"/>
      <c r="J130" s="153"/>
      <c r="K130" s="153">
        <f t="shared" si="2"/>
        <v>0</v>
      </c>
      <c r="L130" s="33"/>
      <c r="M130" s="328"/>
    </row>
    <row r="131" spans="1:13" s="307" customFormat="1" ht="18" x14ac:dyDescent="0.35">
      <c r="A131" s="29" t="s">
        <v>450</v>
      </c>
      <c r="B131" s="30" t="s">
        <v>99</v>
      </c>
      <c r="C131" s="31" t="s">
        <v>51</v>
      </c>
      <c r="D131" s="34"/>
      <c r="E131" s="31"/>
      <c r="F131" s="31"/>
      <c r="G131" s="33"/>
      <c r="H131" s="33">
        <v>259.33333333333337</v>
      </c>
      <c r="I131" s="153">
        <v>0.03</v>
      </c>
      <c r="J131" s="153">
        <v>2.1800000000000002</v>
      </c>
      <c r="K131" s="153">
        <f t="shared" si="2"/>
        <v>2.21</v>
      </c>
      <c r="L131" s="33">
        <v>22100</v>
      </c>
      <c r="M131" s="33">
        <v>22100</v>
      </c>
    </row>
    <row r="132" spans="1:13" s="307" customFormat="1" ht="18" hidden="1" x14ac:dyDescent="0.35">
      <c r="A132" s="29"/>
      <c r="B132" s="27"/>
      <c r="C132" s="31"/>
      <c r="D132" s="34" t="s">
        <v>237</v>
      </c>
      <c r="E132" s="31" t="s">
        <v>201</v>
      </c>
      <c r="F132" s="31">
        <v>0.1</v>
      </c>
      <c r="G132" s="33">
        <v>2593.3333333333335</v>
      </c>
      <c r="H132" s="33">
        <v>259.33333333333337</v>
      </c>
      <c r="I132" s="153"/>
      <c r="J132" s="153"/>
      <c r="K132" s="153">
        <f t="shared" si="2"/>
        <v>0</v>
      </c>
      <c r="L132" s="33"/>
      <c r="M132" s="328"/>
    </row>
    <row r="133" spans="1:13" s="307" customFormat="1" ht="18" x14ac:dyDescent="0.35">
      <c r="A133" s="29" t="s">
        <v>451</v>
      </c>
      <c r="B133" s="30" t="s">
        <v>101</v>
      </c>
      <c r="C133" s="31" t="s">
        <v>51</v>
      </c>
      <c r="D133" s="34"/>
      <c r="E133" s="31"/>
      <c r="F133" s="31"/>
      <c r="G133" s="33"/>
      <c r="H133" s="33">
        <v>31</v>
      </c>
      <c r="I133" s="153"/>
      <c r="J133" s="153">
        <v>1.63</v>
      </c>
      <c r="K133" s="153">
        <f t="shared" si="2"/>
        <v>1.63</v>
      </c>
      <c r="L133" s="33">
        <v>16300</v>
      </c>
      <c r="M133" s="33">
        <v>16300</v>
      </c>
    </row>
    <row r="134" spans="1:13" s="307" customFormat="1" ht="18" hidden="1" x14ac:dyDescent="0.35">
      <c r="A134" s="29"/>
      <c r="B134" s="27"/>
      <c r="C134" s="31" t="s">
        <v>51</v>
      </c>
      <c r="D134" s="34" t="s">
        <v>202</v>
      </c>
      <c r="E134" s="31" t="s">
        <v>192</v>
      </c>
      <c r="F134" s="31">
        <v>1</v>
      </c>
      <c r="G134" s="48">
        <v>31</v>
      </c>
      <c r="H134" s="33">
        <v>31</v>
      </c>
      <c r="I134" s="153"/>
      <c r="J134" s="153"/>
      <c r="K134" s="153">
        <f t="shared" si="2"/>
        <v>0</v>
      </c>
      <c r="L134" s="33"/>
      <c r="M134" s="328"/>
    </row>
    <row r="135" spans="1:13" s="307" customFormat="1" ht="36" x14ac:dyDescent="0.35">
      <c r="A135" s="29" t="s">
        <v>452</v>
      </c>
      <c r="B135" s="62" t="s">
        <v>103</v>
      </c>
      <c r="C135" s="31" t="s">
        <v>51</v>
      </c>
      <c r="D135" s="34"/>
      <c r="E135" s="31"/>
      <c r="F135" s="31"/>
      <c r="G135" s="33"/>
      <c r="H135" s="33">
        <v>12183.266666666666</v>
      </c>
      <c r="I135" s="153">
        <v>1.22</v>
      </c>
      <c r="J135" s="153">
        <v>5.44</v>
      </c>
      <c r="K135" s="153">
        <f t="shared" si="2"/>
        <v>6.66</v>
      </c>
      <c r="L135" s="33">
        <v>66600</v>
      </c>
      <c r="M135" s="33">
        <v>66600</v>
      </c>
    </row>
    <row r="136" spans="1:13" s="307" customFormat="1" ht="63" hidden="1" x14ac:dyDescent="0.35">
      <c r="A136" s="29"/>
      <c r="B136" s="62"/>
      <c r="C136" s="31" t="s">
        <v>51</v>
      </c>
      <c r="D136" s="34" t="s">
        <v>238</v>
      </c>
      <c r="E136" s="31" t="s">
        <v>185</v>
      </c>
      <c r="F136" s="31">
        <v>0.4</v>
      </c>
      <c r="G136" s="33">
        <v>6911.833333333333</v>
      </c>
      <c r="H136" s="33">
        <v>2764.7333333333336</v>
      </c>
      <c r="I136" s="153"/>
      <c r="J136" s="153"/>
      <c r="K136" s="153">
        <f t="shared" si="2"/>
        <v>0</v>
      </c>
      <c r="L136" s="33"/>
      <c r="M136" s="328"/>
    </row>
    <row r="137" spans="1:13" s="307" customFormat="1" ht="63" hidden="1" x14ac:dyDescent="0.35">
      <c r="A137" s="29"/>
      <c r="B137" s="62"/>
      <c r="C137" s="31" t="s">
        <v>51</v>
      </c>
      <c r="D137" s="34" t="s">
        <v>239</v>
      </c>
      <c r="E137" s="31" t="s">
        <v>185</v>
      </c>
      <c r="F137" s="31">
        <v>1.2</v>
      </c>
      <c r="G137" s="33">
        <v>6911.833333333333</v>
      </c>
      <c r="H137" s="33">
        <v>8294.1999999999989</v>
      </c>
      <c r="I137" s="153"/>
      <c r="J137" s="153"/>
      <c r="K137" s="153">
        <f t="shared" si="2"/>
        <v>0</v>
      </c>
      <c r="L137" s="33"/>
      <c r="M137" s="328"/>
    </row>
    <row r="138" spans="1:13" s="307" customFormat="1" ht="31.8" hidden="1" x14ac:dyDescent="0.35">
      <c r="A138" s="29"/>
      <c r="B138" s="62"/>
      <c r="C138" s="31" t="s">
        <v>51</v>
      </c>
      <c r="D138" s="34" t="s">
        <v>240</v>
      </c>
      <c r="E138" s="31" t="s">
        <v>185</v>
      </c>
      <c r="F138" s="31">
        <v>0.2</v>
      </c>
      <c r="G138" s="33">
        <v>5466.666666666667</v>
      </c>
      <c r="H138" s="33">
        <v>1093.3333333333335</v>
      </c>
      <c r="I138" s="153"/>
      <c r="J138" s="153"/>
      <c r="K138" s="153">
        <f t="shared" si="2"/>
        <v>0</v>
      </c>
      <c r="L138" s="33"/>
      <c r="M138" s="328"/>
    </row>
    <row r="139" spans="1:13" s="307" customFormat="1" ht="18" hidden="1" x14ac:dyDescent="0.35">
      <c r="A139" s="29"/>
      <c r="B139" s="62"/>
      <c r="C139" s="31" t="s">
        <v>51</v>
      </c>
      <c r="D139" s="34" t="s">
        <v>202</v>
      </c>
      <c r="E139" s="31" t="s">
        <v>213</v>
      </c>
      <c r="F139" s="31">
        <v>1</v>
      </c>
      <c r="G139" s="48">
        <v>31</v>
      </c>
      <c r="H139" s="33">
        <v>31</v>
      </c>
      <c r="I139" s="153"/>
      <c r="J139" s="153"/>
      <c r="K139" s="153">
        <f t="shared" si="2"/>
        <v>0</v>
      </c>
      <c r="L139" s="33"/>
      <c r="M139" s="328"/>
    </row>
    <row r="140" spans="1:13" s="307" customFormat="1" ht="36" hidden="1" x14ac:dyDescent="0.35">
      <c r="A140" s="40" t="s">
        <v>241</v>
      </c>
      <c r="B140" s="63" t="s">
        <v>242</v>
      </c>
      <c r="C140" s="42" t="s">
        <v>51</v>
      </c>
      <c r="D140" s="43"/>
      <c r="E140" s="42"/>
      <c r="F140" s="42"/>
      <c r="G140" s="44"/>
      <c r="H140" s="44">
        <v>17370.300000000003</v>
      </c>
      <c r="I140" s="154">
        <v>17350</v>
      </c>
      <c r="J140" s="154">
        <v>119700</v>
      </c>
      <c r="K140" s="153">
        <f t="shared" si="2"/>
        <v>137050</v>
      </c>
      <c r="L140" s="33"/>
      <c r="M140" s="328"/>
    </row>
    <row r="141" spans="1:13" s="307" customFormat="1" ht="63" hidden="1" x14ac:dyDescent="0.35">
      <c r="A141" s="40"/>
      <c r="B141" s="63"/>
      <c r="C141" s="42" t="s">
        <v>51</v>
      </c>
      <c r="D141" s="43" t="s">
        <v>238</v>
      </c>
      <c r="E141" s="42" t="s">
        <v>185</v>
      </c>
      <c r="F141" s="42">
        <v>0.8</v>
      </c>
      <c r="G141" s="44">
        <v>6911.833333333333</v>
      </c>
      <c r="H141" s="44">
        <v>5529.4666666666672</v>
      </c>
      <c r="I141" s="154"/>
      <c r="J141" s="154"/>
      <c r="K141" s="153">
        <f t="shared" si="2"/>
        <v>0</v>
      </c>
      <c r="L141" s="33"/>
      <c r="M141" s="328"/>
    </row>
    <row r="142" spans="1:13" s="307" customFormat="1" ht="63" hidden="1" x14ac:dyDescent="0.35">
      <c r="A142" s="40"/>
      <c r="B142" s="63"/>
      <c r="C142" s="42" t="s">
        <v>51</v>
      </c>
      <c r="D142" s="43" t="s">
        <v>239</v>
      </c>
      <c r="E142" s="42" t="s">
        <v>185</v>
      </c>
      <c r="F142" s="42">
        <v>1.6</v>
      </c>
      <c r="G142" s="44">
        <v>6911.833333333333</v>
      </c>
      <c r="H142" s="44">
        <v>11058.933333333334</v>
      </c>
      <c r="I142" s="154"/>
      <c r="J142" s="154"/>
      <c r="K142" s="153">
        <f t="shared" si="2"/>
        <v>0</v>
      </c>
      <c r="L142" s="33"/>
      <c r="M142" s="328"/>
    </row>
    <row r="143" spans="1:13" s="307" customFormat="1" ht="31.8" hidden="1" x14ac:dyDescent="0.35">
      <c r="A143" s="40"/>
      <c r="B143" s="63"/>
      <c r="C143" s="42" t="s">
        <v>51</v>
      </c>
      <c r="D143" s="43" t="s">
        <v>240</v>
      </c>
      <c r="E143" s="42" t="s">
        <v>185</v>
      </c>
      <c r="F143" s="42">
        <v>0.2</v>
      </c>
      <c r="G143" s="44">
        <v>3754.5</v>
      </c>
      <c r="H143" s="44">
        <v>750.90000000000009</v>
      </c>
      <c r="I143" s="154"/>
      <c r="J143" s="154"/>
      <c r="K143" s="153">
        <f t="shared" si="2"/>
        <v>0</v>
      </c>
      <c r="L143" s="33"/>
      <c r="M143" s="328"/>
    </row>
    <row r="144" spans="1:13" s="307" customFormat="1" ht="18" hidden="1" x14ac:dyDescent="0.35">
      <c r="A144" s="40"/>
      <c r="B144" s="63"/>
      <c r="C144" s="42" t="s">
        <v>51</v>
      </c>
      <c r="D144" s="43" t="s">
        <v>202</v>
      </c>
      <c r="E144" s="42" t="s">
        <v>213</v>
      </c>
      <c r="F144" s="42">
        <v>1</v>
      </c>
      <c r="G144" s="44">
        <v>31</v>
      </c>
      <c r="H144" s="44">
        <v>31</v>
      </c>
      <c r="I144" s="154"/>
      <c r="J144" s="154"/>
      <c r="K144" s="153">
        <f t="shared" si="2"/>
        <v>0</v>
      </c>
      <c r="L144" s="33"/>
      <c r="M144" s="328"/>
    </row>
    <row r="145" spans="1:13" s="307" customFormat="1" ht="28.5" hidden="1" customHeight="1" x14ac:dyDescent="0.35">
      <c r="A145" s="40" t="s">
        <v>243</v>
      </c>
      <c r="B145" s="63" t="s">
        <v>244</v>
      </c>
      <c r="C145" s="42" t="s">
        <v>51</v>
      </c>
      <c r="D145" s="43"/>
      <c r="E145" s="42"/>
      <c r="F145" s="42"/>
      <c r="G145" s="44"/>
      <c r="H145" s="44">
        <v>13</v>
      </c>
      <c r="I145" s="154"/>
      <c r="J145" s="154">
        <v>27200</v>
      </c>
      <c r="K145" s="153">
        <f t="shared" si="2"/>
        <v>27200</v>
      </c>
      <c r="L145" s="33"/>
      <c r="M145" s="328"/>
    </row>
    <row r="146" spans="1:13" s="307" customFormat="1" ht="28.5" hidden="1" customHeight="1" x14ac:dyDescent="0.35">
      <c r="A146" s="40"/>
      <c r="B146" s="63"/>
      <c r="C146" s="42" t="s">
        <v>51</v>
      </c>
      <c r="D146" s="43" t="s">
        <v>245</v>
      </c>
      <c r="E146" s="42" t="s">
        <v>185</v>
      </c>
      <c r="F146" s="64" t="s">
        <v>246</v>
      </c>
      <c r="G146" s="44"/>
      <c r="H146" s="44"/>
      <c r="I146" s="154"/>
      <c r="J146" s="154"/>
      <c r="K146" s="153">
        <f t="shared" si="2"/>
        <v>0</v>
      </c>
      <c r="L146" s="33"/>
      <c r="M146" s="328"/>
    </row>
    <row r="147" spans="1:13" s="307" customFormat="1" ht="28.5" hidden="1" customHeight="1" x14ac:dyDescent="0.35">
      <c r="A147" s="40"/>
      <c r="B147" s="63"/>
      <c r="C147" s="42" t="s">
        <v>51</v>
      </c>
      <c r="D147" s="43" t="s">
        <v>247</v>
      </c>
      <c r="E147" s="42" t="s">
        <v>213</v>
      </c>
      <c r="F147" s="42">
        <v>1</v>
      </c>
      <c r="G147" s="44">
        <v>31</v>
      </c>
      <c r="H147" s="44">
        <v>13</v>
      </c>
      <c r="I147" s="154"/>
      <c r="J147" s="154"/>
      <c r="K147" s="153">
        <f t="shared" si="2"/>
        <v>0</v>
      </c>
      <c r="L147" s="33"/>
      <c r="M147" s="328"/>
    </row>
    <row r="148" spans="1:13" s="307" customFormat="1" ht="54" hidden="1" x14ac:dyDescent="0.35">
      <c r="A148" s="40" t="s">
        <v>248</v>
      </c>
      <c r="B148" s="63" t="s">
        <v>249</v>
      </c>
      <c r="C148" s="42" t="s">
        <v>51</v>
      </c>
      <c r="D148" s="43"/>
      <c r="E148" s="42"/>
      <c r="F148" s="42"/>
      <c r="G148" s="44"/>
      <c r="H148" s="44">
        <v>15168.041516666666</v>
      </c>
      <c r="I148" s="154">
        <v>15100</v>
      </c>
      <c r="J148" s="154">
        <v>108900</v>
      </c>
      <c r="K148" s="153">
        <f t="shared" si="2"/>
        <v>124000</v>
      </c>
      <c r="L148" s="33"/>
      <c r="M148" s="328"/>
    </row>
    <row r="149" spans="1:13" s="307" customFormat="1" ht="63" hidden="1" x14ac:dyDescent="0.35">
      <c r="A149" s="40"/>
      <c r="B149" s="63"/>
      <c r="C149" s="42" t="s">
        <v>51</v>
      </c>
      <c r="D149" s="43" t="s">
        <v>250</v>
      </c>
      <c r="E149" s="42" t="s">
        <v>185</v>
      </c>
      <c r="F149" s="42">
        <v>0.5</v>
      </c>
      <c r="G149" s="44">
        <v>6911.833333333333</v>
      </c>
      <c r="H149" s="44">
        <v>3455.9166666666665</v>
      </c>
      <c r="I149" s="154"/>
      <c r="J149" s="154"/>
      <c r="K149" s="153">
        <f t="shared" si="2"/>
        <v>0</v>
      </c>
      <c r="L149" s="33"/>
      <c r="M149" s="328"/>
    </row>
    <row r="150" spans="1:13" s="307" customFormat="1" ht="63" hidden="1" x14ac:dyDescent="0.35">
      <c r="A150" s="40"/>
      <c r="B150" s="63"/>
      <c r="C150" s="42" t="s">
        <v>51</v>
      </c>
      <c r="D150" s="43" t="s">
        <v>251</v>
      </c>
      <c r="E150" s="42" t="s">
        <v>185</v>
      </c>
      <c r="F150" s="42">
        <v>1.5</v>
      </c>
      <c r="G150" s="44">
        <v>6911.833333333333</v>
      </c>
      <c r="H150" s="44">
        <v>10367.75</v>
      </c>
      <c r="I150" s="154"/>
      <c r="J150" s="154"/>
      <c r="K150" s="153">
        <f t="shared" si="2"/>
        <v>0</v>
      </c>
      <c r="L150" s="33"/>
      <c r="M150" s="328"/>
    </row>
    <row r="151" spans="1:13" s="307" customFormat="1" ht="31.8" hidden="1" x14ac:dyDescent="0.35">
      <c r="A151" s="40"/>
      <c r="B151" s="63"/>
      <c r="C151" s="42" t="s">
        <v>51</v>
      </c>
      <c r="D151" s="43" t="s">
        <v>240</v>
      </c>
      <c r="E151" s="42" t="s">
        <v>185</v>
      </c>
      <c r="F151" s="42">
        <v>0.33329999999999999</v>
      </c>
      <c r="G151" s="44">
        <v>3754.5</v>
      </c>
      <c r="H151" s="44">
        <v>1251.3748499999999</v>
      </c>
      <c r="I151" s="154"/>
      <c r="J151" s="154"/>
      <c r="K151" s="153">
        <f t="shared" si="2"/>
        <v>0</v>
      </c>
      <c r="L151" s="33"/>
      <c r="M151" s="328"/>
    </row>
    <row r="152" spans="1:13" s="307" customFormat="1" ht="28.5" hidden="1" customHeight="1" x14ac:dyDescent="0.35">
      <c r="A152" s="40"/>
      <c r="B152" s="63"/>
      <c r="C152" s="42" t="s">
        <v>51</v>
      </c>
      <c r="D152" s="43" t="s">
        <v>247</v>
      </c>
      <c r="E152" s="42" t="s">
        <v>213</v>
      </c>
      <c r="F152" s="64" t="s">
        <v>252</v>
      </c>
      <c r="G152" s="44">
        <v>31</v>
      </c>
      <c r="H152" s="44">
        <v>93</v>
      </c>
      <c r="I152" s="154"/>
      <c r="J152" s="154"/>
      <c r="K152" s="153">
        <f t="shared" si="2"/>
        <v>0</v>
      </c>
      <c r="L152" s="33"/>
      <c r="M152" s="328"/>
    </row>
    <row r="153" spans="1:13" s="307" customFormat="1" ht="54" hidden="1" x14ac:dyDescent="0.35">
      <c r="A153" s="40" t="s">
        <v>253</v>
      </c>
      <c r="B153" s="63" t="s">
        <v>254</v>
      </c>
      <c r="C153" s="42" t="s">
        <v>51</v>
      </c>
      <c r="D153" s="43"/>
      <c r="E153" s="42"/>
      <c r="F153" s="42"/>
      <c r="G153" s="44"/>
      <c r="H153" s="44">
        <v>20225.749999999996</v>
      </c>
      <c r="I153" s="154">
        <v>20200</v>
      </c>
      <c r="J153" s="154">
        <v>163300</v>
      </c>
      <c r="K153" s="153">
        <f t="shared" si="2"/>
        <v>183500</v>
      </c>
      <c r="L153" s="33"/>
      <c r="M153" s="328"/>
    </row>
    <row r="154" spans="1:13" s="307" customFormat="1" ht="63" hidden="1" x14ac:dyDescent="0.35">
      <c r="A154" s="40"/>
      <c r="B154" s="63"/>
      <c r="C154" s="42" t="s">
        <v>51</v>
      </c>
      <c r="D154" s="43" t="s">
        <v>250</v>
      </c>
      <c r="E154" s="42" t="s">
        <v>185</v>
      </c>
      <c r="F154" s="42">
        <v>0.7</v>
      </c>
      <c r="G154" s="44">
        <v>6911.833333333333</v>
      </c>
      <c r="H154" s="44">
        <v>4838.2833333333328</v>
      </c>
      <c r="I154" s="154"/>
      <c r="J154" s="154"/>
      <c r="K154" s="153">
        <f t="shared" si="2"/>
        <v>0</v>
      </c>
      <c r="L154" s="33"/>
      <c r="M154" s="328"/>
    </row>
    <row r="155" spans="1:13" s="307" customFormat="1" ht="63" hidden="1" x14ac:dyDescent="0.35">
      <c r="A155" s="40"/>
      <c r="B155" s="63"/>
      <c r="C155" s="42" t="s">
        <v>51</v>
      </c>
      <c r="D155" s="43" t="s">
        <v>251</v>
      </c>
      <c r="E155" s="42" t="s">
        <v>185</v>
      </c>
      <c r="F155" s="42">
        <v>2</v>
      </c>
      <c r="G155" s="44">
        <v>6911.833333333333</v>
      </c>
      <c r="H155" s="44">
        <v>13823.666666666666</v>
      </c>
      <c r="I155" s="154"/>
      <c r="J155" s="154"/>
      <c r="K155" s="153">
        <f t="shared" si="2"/>
        <v>0</v>
      </c>
      <c r="L155" s="33"/>
      <c r="M155" s="328"/>
    </row>
    <row r="156" spans="1:13" s="307" customFormat="1" ht="31.8" hidden="1" x14ac:dyDescent="0.35">
      <c r="A156" s="40"/>
      <c r="B156" s="63"/>
      <c r="C156" s="42" t="s">
        <v>51</v>
      </c>
      <c r="D156" s="43" t="s">
        <v>240</v>
      </c>
      <c r="E156" s="42" t="s">
        <v>185</v>
      </c>
      <c r="F156" s="42">
        <v>0.4</v>
      </c>
      <c r="G156" s="44">
        <v>3754.5</v>
      </c>
      <c r="H156" s="44">
        <v>1501.8000000000002</v>
      </c>
      <c r="I156" s="154"/>
      <c r="J156" s="154"/>
      <c r="K156" s="153">
        <f t="shared" si="2"/>
        <v>0</v>
      </c>
      <c r="L156" s="33"/>
      <c r="M156" s="328"/>
    </row>
    <row r="157" spans="1:13" s="307" customFormat="1" ht="28.5" hidden="1" customHeight="1" x14ac:dyDescent="0.35">
      <c r="A157" s="40"/>
      <c r="B157" s="63"/>
      <c r="C157" s="42" t="s">
        <v>51</v>
      </c>
      <c r="D157" s="43" t="s">
        <v>247</v>
      </c>
      <c r="E157" s="42" t="s">
        <v>213</v>
      </c>
      <c r="F157" s="42">
        <v>2</v>
      </c>
      <c r="G157" s="44">
        <v>31</v>
      </c>
      <c r="H157" s="44">
        <v>62</v>
      </c>
      <c r="I157" s="154"/>
      <c r="J157" s="154"/>
      <c r="K157" s="153">
        <f t="shared" si="2"/>
        <v>0</v>
      </c>
      <c r="L157" s="33"/>
      <c r="M157" s="328"/>
    </row>
    <row r="158" spans="1:13" s="307" customFormat="1" ht="18" x14ac:dyDescent="0.35">
      <c r="A158" s="29" t="s">
        <v>453</v>
      </c>
      <c r="B158" s="62" t="s">
        <v>105</v>
      </c>
      <c r="C158" s="31" t="s">
        <v>51</v>
      </c>
      <c r="D158" s="34"/>
      <c r="E158" s="31"/>
      <c r="F158" s="31"/>
      <c r="G158" s="33"/>
      <c r="H158" s="33">
        <v>31</v>
      </c>
      <c r="I158" s="153"/>
      <c r="J158" s="153">
        <v>2.72</v>
      </c>
      <c r="K158" s="153">
        <f t="shared" si="2"/>
        <v>2.72</v>
      </c>
      <c r="L158" s="33">
        <v>27200</v>
      </c>
      <c r="M158" s="33">
        <v>27200</v>
      </c>
    </row>
    <row r="159" spans="1:13" s="307" customFormat="1" ht="31.8" hidden="1" x14ac:dyDescent="0.35">
      <c r="A159" s="29"/>
      <c r="B159" s="62"/>
      <c r="C159" s="31" t="s">
        <v>51</v>
      </c>
      <c r="D159" s="34" t="s">
        <v>255</v>
      </c>
      <c r="E159" s="31" t="s">
        <v>213</v>
      </c>
      <c r="F159" s="31">
        <v>1</v>
      </c>
      <c r="G159" s="48">
        <v>31</v>
      </c>
      <c r="H159" s="33">
        <v>31</v>
      </c>
      <c r="I159" s="153"/>
      <c r="J159" s="153"/>
      <c r="K159" s="153">
        <f t="shared" si="2"/>
        <v>0</v>
      </c>
      <c r="L159" s="33"/>
      <c r="M159" s="328"/>
    </row>
    <row r="160" spans="1:13" s="307" customFormat="1" ht="54" hidden="1" x14ac:dyDescent="0.35">
      <c r="A160" s="40" t="s">
        <v>256</v>
      </c>
      <c r="B160" s="63" t="s">
        <v>257</v>
      </c>
      <c r="C160" s="42" t="s">
        <v>51</v>
      </c>
      <c r="D160" s="43"/>
      <c r="E160" s="42"/>
      <c r="F160" s="42"/>
      <c r="G160" s="44"/>
      <c r="H160" s="44">
        <v>3175.3</v>
      </c>
      <c r="I160" s="154">
        <v>3200</v>
      </c>
      <c r="J160" s="154">
        <v>43500</v>
      </c>
      <c r="K160" s="153">
        <f t="shared" si="2"/>
        <v>46700</v>
      </c>
      <c r="L160" s="33"/>
      <c r="M160" s="328"/>
    </row>
    <row r="161" spans="1:13" s="307" customFormat="1" ht="47.4" hidden="1" x14ac:dyDescent="0.35">
      <c r="A161" s="40"/>
      <c r="B161" s="63"/>
      <c r="C161" s="42" t="s">
        <v>51</v>
      </c>
      <c r="D161" s="43" t="s">
        <v>258</v>
      </c>
      <c r="E161" s="42" t="s">
        <v>213</v>
      </c>
      <c r="F161" s="42">
        <v>0.3</v>
      </c>
      <c r="G161" s="44">
        <v>10584.333333333334</v>
      </c>
      <c r="H161" s="44">
        <v>3175.3</v>
      </c>
      <c r="I161" s="154"/>
      <c r="J161" s="154"/>
      <c r="K161" s="153">
        <f t="shared" si="2"/>
        <v>0</v>
      </c>
      <c r="L161" s="33"/>
      <c r="M161" s="328"/>
    </row>
    <row r="162" spans="1:13" s="307" customFormat="1" ht="36" x14ac:dyDescent="0.35">
      <c r="A162" s="29" t="s">
        <v>454</v>
      </c>
      <c r="B162" s="62" t="s">
        <v>107</v>
      </c>
      <c r="C162" s="31" t="s">
        <v>51</v>
      </c>
      <c r="D162" s="34"/>
      <c r="E162" s="31"/>
      <c r="F162" s="31"/>
      <c r="G162" s="33"/>
      <c r="H162" s="33">
        <v>4266.8566666666666</v>
      </c>
      <c r="I162" s="153">
        <v>0.43</v>
      </c>
      <c r="J162" s="153">
        <v>9.8000000000000007</v>
      </c>
      <c r="K162" s="153">
        <f t="shared" si="2"/>
        <v>10.23</v>
      </c>
      <c r="L162" s="33">
        <v>102300</v>
      </c>
      <c r="M162" s="33">
        <v>102300</v>
      </c>
    </row>
    <row r="163" spans="1:13" s="307" customFormat="1" ht="33" hidden="1" customHeight="1" x14ac:dyDescent="0.35">
      <c r="A163" s="29"/>
      <c r="B163" s="27"/>
      <c r="C163" s="31" t="s">
        <v>51</v>
      </c>
      <c r="D163" s="34" t="s">
        <v>259</v>
      </c>
      <c r="E163" s="31" t="s">
        <v>201</v>
      </c>
      <c r="F163" s="31">
        <v>0.15</v>
      </c>
      <c r="G163" s="33">
        <v>3542.6</v>
      </c>
      <c r="H163" s="33">
        <v>531.39</v>
      </c>
      <c r="I163" s="153"/>
      <c r="J163" s="153"/>
      <c r="K163" s="153">
        <f t="shared" si="2"/>
        <v>0</v>
      </c>
      <c r="L163" s="33"/>
      <c r="M163" s="328"/>
    </row>
    <row r="164" spans="1:13" s="307" customFormat="1" ht="18" hidden="1" customHeight="1" x14ac:dyDescent="0.35">
      <c r="A164" s="29"/>
      <c r="B164" s="27"/>
      <c r="C164" s="31" t="s">
        <v>51</v>
      </c>
      <c r="D164" s="34" t="s">
        <v>260</v>
      </c>
      <c r="E164" s="31" t="s">
        <v>213</v>
      </c>
      <c r="F164" s="31">
        <v>0.5</v>
      </c>
      <c r="G164" s="33"/>
      <c r="H164" s="33">
        <v>0</v>
      </c>
      <c r="I164" s="153"/>
      <c r="J164" s="153"/>
      <c r="K164" s="153">
        <f t="shared" si="2"/>
        <v>0</v>
      </c>
      <c r="L164" s="33"/>
      <c r="M164" s="328"/>
    </row>
    <row r="165" spans="1:13" s="307" customFormat="1" ht="18" hidden="1" x14ac:dyDescent="0.35">
      <c r="A165" s="29"/>
      <c r="B165" s="27"/>
      <c r="C165" s="31" t="s">
        <v>51</v>
      </c>
      <c r="D165" s="34" t="s">
        <v>261</v>
      </c>
      <c r="E165" s="31" t="s">
        <v>185</v>
      </c>
      <c r="F165" s="31">
        <v>1</v>
      </c>
      <c r="G165" s="33"/>
      <c r="H165" s="33">
        <v>0</v>
      </c>
      <c r="I165" s="153"/>
      <c r="J165" s="153"/>
      <c r="K165" s="153">
        <f t="shared" si="2"/>
        <v>0</v>
      </c>
      <c r="L165" s="33"/>
      <c r="M165" s="328"/>
    </row>
    <row r="166" spans="1:13" s="307" customFormat="1" ht="18" hidden="1" x14ac:dyDescent="0.35">
      <c r="A166" s="29"/>
      <c r="B166" s="27"/>
      <c r="C166" s="31" t="s">
        <v>51</v>
      </c>
      <c r="D166" s="34" t="s">
        <v>262</v>
      </c>
      <c r="E166" s="31" t="s">
        <v>185</v>
      </c>
      <c r="F166" s="31" t="s">
        <v>263</v>
      </c>
      <c r="G166" s="33"/>
      <c r="H166" s="33"/>
      <c r="I166" s="153"/>
      <c r="J166" s="153"/>
      <c r="K166" s="153">
        <f t="shared" si="2"/>
        <v>0</v>
      </c>
      <c r="L166" s="33"/>
      <c r="M166" s="328"/>
    </row>
    <row r="167" spans="1:13" s="307" customFormat="1" ht="18" hidden="1" x14ac:dyDescent="0.35">
      <c r="A167" s="29"/>
      <c r="B167" s="27"/>
      <c r="C167" s="31" t="s">
        <v>51</v>
      </c>
      <c r="D167" s="34" t="s">
        <v>264</v>
      </c>
      <c r="E167" s="31" t="s">
        <v>185</v>
      </c>
      <c r="F167" s="31">
        <v>0.2</v>
      </c>
      <c r="G167" s="33">
        <v>4177.333333333333</v>
      </c>
      <c r="H167" s="33">
        <v>835.4666666666667</v>
      </c>
      <c r="I167" s="153"/>
      <c r="J167" s="153"/>
      <c r="K167" s="153">
        <f t="shared" si="2"/>
        <v>0</v>
      </c>
      <c r="L167" s="33"/>
      <c r="M167" s="328"/>
    </row>
    <row r="168" spans="1:13" s="307" customFormat="1" ht="18" hidden="1" x14ac:dyDescent="0.35">
      <c r="A168" s="29"/>
      <c r="B168" s="27"/>
      <c r="C168" s="31" t="s">
        <v>51</v>
      </c>
      <c r="D168" s="34" t="s">
        <v>265</v>
      </c>
      <c r="E168" s="31" t="s">
        <v>185</v>
      </c>
      <c r="F168" s="31" t="s">
        <v>266</v>
      </c>
      <c r="G168" s="33"/>
      <c r="H168" s="33"/>
      <c r="I168" s="153"/>
      <c r="J168" s="153"/>
      <c r="K168" s="153">
        <f t="shared" si="2"/>
        <v>0</v>
      </c>
      <c r="L168" s="33"/>
      <c r="M168" s="328"/>
    </row>
    <row r="169" spans="1:13" s="307" customFormat="1" ht="18" hidden="1" x14ac:dyDescent="0.35">
      <c r="A169" s="29"/>
      <c r="B169" s="27"/>
      <c r="C169" s="31" t="s">
        <v>51</v>
      </c>
      <c r="D169" s="34" t="s">
        <v>267</v>
      </c>
      <c r="E169" s="31" t="s">
        <v>185</v>
      </c>
      <c r="F169" s="31">
        <v>5</v>
      </c>
      <c r="G169" s="61">
        <v>580</v>
      </c>
      <c r="H169" s="33">
        <v>2900</v>
      </c>
      <c r="I169" s="153"/>
      <c r="J169" s="153"/>
      <c r="K169" s="153">
        <f t="shared" si="2"/>
        <v>0</v>
      </c>
      <c r="L169" s="33"/>
      <c r="M169" s="328"/>
    </row>
    <row r="170" spans="1:13" s="307" customFormat="1" ht="90" x14ac:dyDescent="0.35">
      <c r="A170" s="36" t="s">
        <v>92</v>
      </c>
      <c r="B170" s="65" t="s">
        <v>109</v>
      </c>
      <c r="C170" s="38" t="s">
        <v>51</v>
      </c>
      <c r="D170" s="39"/>
      <c r="E170" s="31"/>
      <c r="F170" s="31"/>
      <c r="G170" s="33"/>
      <c r="H170" s="33"/>
      <c r="I170" s="153"/>
      <c r="J170" s="153"/>
      <c r="K170" s="153"/>
      <c r="L170" s="33"/>
      <c r="M170" s="328"/>
    </row>
    <row r="171" spans="1:13" s="307" customFormat="1" ht="36" x14ac:dyDescent="0.35">
      <c r="A171" s="180" t="s">
        <v>94</v>
      </c>
      <c r="B171" s="65" t="s">
        <v>111</v>
      </c>
      <c r="C171" s="66" t="s">
        <v>112</v>
      </c>
      <c r="D171" s="60" t="s">
        <v>268</v>
      </c>
      <c r="E171" s="31"/>
      <c r="F171" s="31"/>
      <c r="G171" s="33"/>
      <c r="H171" s="33">
        <v>14094.71875</v>
      </c>
      <c r="I171" s="153">
        <v>1.41</v>
      </c>
      <c r="J171" s="153">
        <v>8.16</v>
      </c>
      <c r="K171" s="153">
        <f t="shared" si="2"/>
        <v>9.57</v>
      </c>
      <c r="L171" s="33">
        <v>95700</v>
      </c>
      <c r="M171" s="33">
        <v>95700</v>
      </c>
    </row>
    <row r="172" spans="1:13" s="307" customFormat="1" ht="33" hidden="1" customHeight="1" x14ac:dyDescent="0.35">
      <c r="A172" s="180"/>
      <c r="B172" s="37"/>
      <c r="C172" s="38"/>
      <c r="D172" s="39" t="s">
        <v>269</v>
      </c>
      <c r="E172" s="31" t="s">
        <v>201</v>
      </c>
      <c r="F172" s="31">
        <v>0.2</v>
      </c>
      <c r="G172" s="35">
        <v>70473.59375</v>
      </c>
      <c r="H172" s="33">
        <v>14094.71875</v>
      </c>
      <c r="I172" s="153"/>
      <c r="J172" s="153"/>
      <c r="K172" s="153">
        <f t="shared" si="2"/>
        <v>0</v>
      </c>
      <c r="L172" s="33"/>
      <c r="M172" s="328"/>
    </row>
    <row r="173" spans="1:13" s="307" customFormat="1" ht="18" x14ac:dyDescent="0.35">
      <c r="A173" s="180" t="s">
        <v>96</v>
      </c>
      <c r="B173" s="65" t="s">
        <v>114</v>
      </c>
      <c r="C173" s="66" t="s">
        <v>112</v>
      </c>
      <c r="D173" s="60" t="s">
        <v>268</v>
      </c>
      <c r="E173" s="31"/>
      <c r="F173" s="31"/>
      <c r="G173" s="33"/>
      <c r="H173" s="33">
        <v>21142.078125</v>
      </c>
      <c r="I173" s="153">
        <v>2.12</v>
      </c>
      <c r="J173" s="153">
        <v>10.89</v>
      </c>
      <c r="K173" s="153">
        <f t="shared" si="2"/>
        <v>13.010000000000002</v>
      </c>
      <c r="L173" s="33">
        <v>130100</v>
      </c>
      <c r="M173" s="33">
        <v>130100</v>
      </c>
    </row>
    <row r="174" spans="1:13" s="307" customFormat="1" ht="32.4" hidden="1" customHeight="1" x14ac:dyDescent="0.35">
      <c r="A174" s="180"/>
      <c r="B174" s="37"/>
      <c r="C174" s="38"/>
      <c r="D174" s="39" t="s">
        <v>269</v>
      </c>
      <c r="E174" s="31" t="s">
        <v>201</v>
      </c>
      <c r="F174" s="31">
        <v>0.3</v>
      </c>
      <c r="G174" s="48">
        <v>70473.59375</v>
      </c>
      <c r="H174" s="33">
        <v>21142.078125</v>
      </c>
      <c r="I174" s="153"/>
      <c r="J174" s="153"/>
      <c r="K174" s="153">
        <f t="shared" si="2"/>
        <v>0</v>
      </c>
      <c r="L174" s="33"/>
      <c r="M174" s="328"/>
    </row>
    <row r="175" spans="1:13" s="307" customFormat="1" ht="18" x14ac:dyDescent="0.35">
      <c r="A175" s="180" t="s">
        <v>98</v>
      </c>
      <c r="B175" s="65" t="s">
        <v>116</v>
      </c>
      <c r="C175" s="66" t="s">
        <v>112</v>
      </c>
      <c r="D175" s="60" t="s">
        <v>268</v>
      </c>
      <c r="E175" s="31"/>
      <c r="F175" s="31"/>
      <c r="G175" s="33"/>
      <c r="H175" s="33">
        <v>28189.4375</v>
      </c>
      <c r="I175" s="153">
        <v>2.82</v>
      </c>
      <c r="J175" s="153">
        <v>11.97</v>
      </c>
      <c r="K175" s="153">
        <f t="shared" si="2"/>
        <v>14.790000000000001</v>
      </c>
      <c r="L175" s="33">
        <v>147900</v>
      </c>
      <c r="M175" s="33">
        <v>147900</v>
      </c>
    </row>
    <row r="176" spans="1:13" s="307" customFormat="1" ht="33.6" hidden="1" customHeight="1" x14ac:dyDescent="0.35">
      <c r="A176" s="180"/>
      <c r="B176" s="37"/>
      <c r="C176" s="38"/>
      <c r="D176" s="39" t="s">
        <v>269</v>
      </c>
      <c r="E176" s="31" t="s">
        <v>201</v>
      </c>
      <c r="F176" s="31">
        <v>0.4</v>
      </c>
      <c r="G176" s="48">
        <v>70473.59375</v>
      </c>
      <c r="H176" s="33">
        <v>28189.4375</v>
      </c>
      <c r="I176" s="153"/>
      <c r="J176" s="153"/>
      <c r="K176" s="153">
        <f t="shared" si="2"/>
        <v>0</v>
      </c>
      <c r="L176" s="33"/>
      <c r="M176" s="328"/>
    </row>
    <row r="177" spans="1:13" s="307" customFormat="1" ht="18" x14ac:dyDescent="0.35">
      <c r="A177" s="180" t="s">
        <v>100</v>
      </c>
      <c r="B177" s="65" t="s">
        <v>118</v>
      </c>
      <c r="C177" s="66" t="s">
        <v>112</v>
      </c>
      <c r="D177" s="60" t="s">
        <v>268</v>
      </c>
      <c r="E177" s="31"/>
      <c r="F177" s="31"/>
      <c r="G177" s="33"/>
      <c r="H177" s="33">
        <v>35236.796875</v>
      </c>
      <c r="I177" s="153">
        <v>3.53</v>
      </c>
      <c r="J177" s="153">
        <v>16.329999999999998</v>
      </c>
      <c r="K177" s="153">
        <f t="shared" si="2"/>
        <v>19.86</v>
      </c>
      <c r="L177" s="33">
        <v>198600</v>
      </c>
      <c r="M177" s="33">
        <v>198600</v>
      </c>
    </row>
    <row r="178" spans="1:13" s="307" customFormat="1" ht="33.6" hidden="1" customHeight="1" x14ac:dyDescent="0.35">
      <c r="A178" s="180"/>
      <c r="B178" s="37"/>
      <c r="C178" s="38"/>
      <c r="D178" s="39" t="s">
        <v>269</v>
      </c>
      <c r="E178" s="31" t="s">
        <v>201</v>
      </c>
      <c r="F178" s="31">
        <v>0.5</v>
      </c>
      <c r="G178" s="48">
        <v>70473.59375</v>
      </c>
      <c r="H178" s="33">
        <v>35236.796875</v>
      </c>
      <c r="I178" s="153"/>
      <c r="J178" s="153"/>
      <c r="K178" s="153">
        <f t="shared" si="2"/>
        <v>0</v>
      </c>
      <c r="L178" s="33"/>
      <c r="M178" s="328"/>
    </row>
    <row r="179" spans="1:13" s="307" customFormat="1" ht="33.6" customHeight="1" x14ac:dyDescent="0.35">
      <c r="A179" s="301" t="s">
        <v>102</v>
      </c>
      <c r="B179" s="65" t="s">
        <v>111</v>
      </c>
      <c r="C179" s="66" t="s">
        <v>455</v>
      </c>
      <c r="D179" s="60" t="s">
        <v>268</v>
      </c>
      <c r="E179" s="31"/>
      <c r="F179" s="31"/>
      <c r="G179" s="33"/>
      <c r="H179" s="33">
        <v>14094.71875</v>
      </c>
      <c r="I179" s="153">
        <v>1.73</v>
      </c>
      <c r="J179" s="153">
        <v>8.16</v>
      </c>
      <c r="K179" s="153">
        <f t="shared" si="2"/>
        <v>9.89</v>
      </c>
      <c r="L179" s="33">
        <v>95700</v>
      </c>
      <c r="M179" s="33">
        <v>98900</v>
      </c>
    </row>
    <row r="180" spans="1:13" s="307" customFormat="1" ht="18" x14ac:dyDescent="0.35">
      <c r="A180" s="301" t="s">
        <v>104</v>
      </c>
      <c r="B180" s="65" t="s">
        <v>114</v>
      </c>
      <c r="C180" s="66" t="s">
        <v>455</v>
      </c>
      <c r="D180" s="60" t="s">
        <v>268</v>
      </c>
      <c r="E180" s="31"/>
      <c r="F180" s="31"/>
      <c r="G180" s="33"/>
      <c r="H180" s="33">
        <v>21142.078125</v>
      </c>
      <c r="I180" s="153">
        <v>2.59</v>
      </c>
      <c r="J180" s="153">
        <v>10.89</v>
      </c>
      <c r="K180" s="153">
        <f t="shared" si="2"/>
        <v>13.48</v>
      </c>
      <c r="L180" s="33">
        <v>130100</v>
      </c>
      <c r="M180" s="33">
        <v>134800</v>
      </c>
    </row>
    <row r="181" spans="1:13" s="307" customFormat="1" ht="18" x14ac:dyDescent="0.35">
      <c r="A181" s="301" t="s">
        <v>106</v>
      </c>
      <c r="B181" s="65" t="s">
        <v>116</v>
      </c>
      <c r="C181" s="66" t="s">
        <v>455</v>
      </c>
      <c r="D181" s="60" t="s">
        <v>268</v>
      </c>
      <c r="E181" s="31"/>
      <c r="F181" s="31"/>
      <c r="G181" s="33"/>
      <c r="H181" s="33">
        <v>28189.4375</v>
      </c>
      <c r="I181" s="153">
        <v>3.46</v>
      </c>
      <c r="J181" s="153">
        <v>11.97</v>
      </c>
      <c r="K181" s="153">
        <f t="shared" si="2"/>
        <v>15.43</v>
      </c>
      <c r="L181" s="33">
        <v>147900</v>
      </c>
      <c r="M181" s="33">
        <v>154300</v>
      </c>
    </row>
    <row r="182" spans="1:13" s="307" customFormat="1" ht="18" x14ac:dyDescent="0.35">
      <c r="A182" s="301" t="s">
        <v>456</v>
      </c>
      <c r="B182" s="65" t="s">
        <v>118</v>
      </c>
      <c r="C182" s="66" t="s">
        <v>455</v>
      </c>
      <c r="D182" s="60" t="s">
        <v>268</v>
      </c>
      <c r="E182" s="31"/>
      <c r="F182" s="31"/>
      <c r="G182" s="33"/>
      <c r="H182" s="33">
        <v>35236.796875</v>
      </c>
      <c r="I182" s="153">
        <v>4.32</v>
      </c>
      <c r="J182" s="153">
        <v>16.329999999999998</v>
      </c>
      <c r="K182" s="153">
        <f t="shared" si="2"/>
        <v>20.65</v>
      </c>
      <c r="L182" s="33">
        <v>198600</v>
      </c>
      <c r="M182" s="33">
        <v>206500</v>
      </c>
    </row>
    <row r="183" spans="1:13" s="307" customFormat="1" ht="36" x14ac:dyDescent="0.35">
      <c r="A183" s="301" t="s">
        <v>457</v>
      </c>
      <c r="B183" s="302" t="s">
        <v>111</v>
      </c>
      <c r="C183" s="300" t="s">
        <v>458</v>
      </c>
      <c r="D183" s="303" t="s">
        <v>268</v>
      </c>
      <c r="E183" s="304"/>
      <c r="F183" s="304"/>
      <c r="G183" s="305"/>
      <c r="H183" s="305">
        <f>SUM(H184:H184)</f>
        <v>23032.2</v>
      </c>
      <c r="I183" s="212">
        <v>1.91</v>
      </c>
      <c r="J183" s="155">
        <v>8.16</v>
      </c>
      <c r="K183" s="155">
        <f>I183+J183</f>
        <v>10.07</v>
      </c>
      <c r="L183" s="329">
        <v>95700</v>
      </c>
      <c r="M183" s="329">
        <v>98900</v>
      </c>
    </row>
    <row r="184" spans="1:13" s="307" customFormat="1" ht="18" x14ac:dyDescent="0.35">
      <c r="A184" s="301" t="s">
        <v>459</v>
      </c>
      <c r="B184" s="302" t="s">
        <v>114</v>
      </c>
      <c r="C184" s="300" t="s">
        <v>458</v>
      </c>
      <c r="D184" s="303" t="s">
        <v>268</v>
      </c>
      <c r="E184" s="304"/>
      <c r="F184" s="304"/>
      <c r="G184" s="305"/>
      <c r="H184" s="305">
        <f>SUM(H185:H185)</f>
        <v>23032.2</v>
      </c>
      <c r="I184" s="212">
        <v>2.87</v>
      </c>
      <c r="J184" s="155">
        <v>10.89</v>
      </c>
      <c r="K184" s="155">
        <f t="shared" ref="K184:K186" si="3">I184+J184</f>
        <v>13.760000000000002</v>
      </c>
      <c r="L184" s="329">
        <v>130100</v>
      </c>
      <c r="M184" s="329">
        <v>134800</v>
      </c>
    </row>
    <row r="185" spans="1:13" s="307" customFormat="1" ht="18" x14ac:dyDescent="0.35">
      <c r="A185" s="301" t="s">
        <v>460</v>
      </c>
      <c r="B185" s="302" t="s">
        <v>116</v>
      </c>
      <c r="C185" s="300" t="s">
        <v>458</v>
      </c>
      <c r="D185" s="303" t="s">
        <v>268</v>
      </c>
      <c r="E185" s="304"/>
      <c r="F185" s="304"/>
      <c r="G185" s="305"/>
      <c r="H185" s="305">
        <f>SUM(H186:H186)</f>
        <v>23032.2</v>
      </c>
      <c r="I185" s="212">
        <v>3.83</v>
      </c>
      <c r="J185" s="155">
        <v>11.97</v>
      </c>
      <c r="K185" s="155">
        <f t="shared" si="3"/>
        <v>15.8</v>
      </c>
      <c r="L185" s="329">
        <v>147900</v>
      </c>
      <c r="M185" s="329">
        <v>154300</v>
      </c>
    </row>
    <row r="186" spans="1:13" s="307" customFormat="1" ht="18" x14ac:dyDescent="0.35">
      <c r="A186" s="301" t="s">
        <v>461</v>
      </c>
      <c r="B186" s="302" t="s">
        <v>118</v>
      </c>
      <c r="C186" s="300" t="s">
        <v>458</v>
      </c>
      <c r="D186" s="303" t="s">
        <v>268</v>
      </c>
      <c r="E186" s="304"/>
      <c r="F186" s="304"/>
      <c r="G186" s="305"/>
      <c r="H186" s="305">
        <f>SUM(H196:H196)</f>
        <v>23032.2</v>
      </c>
      <c r="I186" s="212">
        <v>4.78</v>
      </c>
      <c r="J186" s="155">
        <v>16.329999999999998</v>
      </c>
      <c r="K186" s="155">
        <f t="shared" si="3"/>
        <v>21.11</v>
      </c>
      <c r="L186" s="329">
        <v>198600</v>
      </c>
      <c r="M186" s="329">
        <v>206500</v>
      </c>
    </row>
    <row r="187" spans="1:13" s="307" customFormat="1" ht="90" x14ac:dyDescent="0.35">
      <c r="A187" s="36" t="s">
        <v>108</v>
      </c>
      <c r="B187" s="65" t="s">
        <v>270</v>
      </c>
      <c r="C187" s="38" t="s">
        <v>51</v>
      </c>
      <c r="D187" s="39"/>
      <c r="E187" s="38"/>
      <c r="F187" s="38"/>
      <c r="G187" s="61"/>
      <c r="H187" s="61"/>
      <c r="I187" s="155"/>
      <c r="J187" s="155"/>
      <c r="K187" s="153"/>
      <c r="L187" s="33"/>
      <c r="M187" s="328"/>
    </row>
    <row r="188" spans="1:13" s="307" customFormat="1" ht="36.75" hidden="1" customHeight="1" x14ac:dyDescent="0.35">
      <c r="A188" s="36" t="s">
        <v>120</v>
      </c>
      <c r="B188" s="65" t="s">
        <v>111</v>
      </c>
      <c r="C188" s="66" t="s">
        <v>271</v>
      </c>
      <c r="D188" s="60" t="s">
        <v>272</v>
      </c>
      <c r="E188" s="38"/>
      <c r="F188" s="38"/>
      <c r="G188" s="61"/>
      <c r="H188" s="61">
        <v>3629.2296296296299</v>
      </c>
      <c r="I188" s="155">
        <v>3650</v>
      </c>
      <c r="J188" s="155">
        <v>108900</v>
      </c>
      <c r="K188" s="153">
        <f t="shared" si="2"/>
        <v>112550</v>
      </c>
      <c r="L188" s="33">
        <v>8760</v>
      </c>
      <c r="M188" s="328"/>
    </row>
    <row r="189" spans="1:13" s="307" customFormat="1" ht="36" x14ac:dyDescent="0.35">
      <c r="A189" s="36" t="s">
        <v>110</v>
      </c>
      <c r="B189" s="65" t="s">
        <v>111</v>
      </c>
      <c r="C189" s="66" t="s">
        <v>312</v>
      </c>
      <c r="D189" s="39" t="s">
        <v>269</v>
      </c>
      <c r="E189" s="38" t="s">
        <v>201</v>
      </c>
      <c r="F189" s="38">
        <v>0.2</v>
      </c>
      <c r="G189" s="61">
        <v>18146.14814814815</v>
      </c>
      <c r="H189" s="61">
        <v>3629.2296296296299</v>
      </c>
      <c r="I189" s="155">
        <v>0.2</v>
      </c>
      <c r="J189" s="155">
        <v>8.16</v>
      </c>
      <c r="K189" s="153">
        <f t="shared" si="2"/>
        <v>8.36</v>
      </c>
      <c r="L189" s="61">
        <v>83600</v>
      </c>
      <c r="M189" s="61">
        <v>83600</v>
      </c>
    </row>
    <row r="190" spans="1:13" s="307" customFormat="1" ht="42.75" hidden="1" customHeight="1" x14ac:dyDescent="0.35">
      <c r="A190" s="36"/>
      <c r="B190" s="65" t="s">
        <v>111</v>
      </c>
      <c r="C190" s="66" t="s">
        <v>273</v>
      </c>
      <c r="D190" s="60" t="s">
        <v>268</v>
      </c>
      <c r="E190" s="38"/>
      <c r="F190" s="38"/>
      <c r="G190" s="61"/>
      <c r="H190" s="61">
        <v>14094.71875</v>
      </c>
      <c r="I190" s="155">
        <v>15350</v>
      </c>
      <c r="J190" s="155">
        <v>108900</v>
      </c>
      <c r="K190" s="153">
        <f t="shared" si="2"/>
        <v>124250</v>
      </c>
      <c r="L190" s="33">
        <v>7630</v>
      </c>
      <c r="M190" s="328"/>
    </row>
    <row r="191" spans="1:13" s="307" customFormat="1" ht="31.8" hidden="1" x14ac:dyDescent="0.35">
      <c r="A191" s="36"/>
      <c r="B191" s="37"/>
      <c r="C191" s="66"/>
      <c r="D191" s="39" t="s">
        <v>269</v>
      </c>
      <c r="E191" s="38" t="s">
        <v>201</v>
      </c>
      <c r="F191" s="38">
        <v>0.2</v>
      </c>
      <c r="G191" s="61">
        <v>70473.59375</v>
      </c>
      <c r="H191" s="61">
        <v>14094.71875</v>
      </c>
      <c r="I191" s="155"/>
      <c r="J191" s="155"/>
      <c r="K191" s="153">
        <f t="shared" si="2"/>
        <v>0</v>
      </c>
      <c r="L191" s="33"/>
      <c r="M191" s="328"/>
    </row>
    <row r="192" spans="1:13" s="307" customFormat="1" ht="42.75" hidden="1" customHeight="1" x14ac:dyDescent="0.35">
      <c r="A192" s="36"/>
      <c r="B192" s="65" t="s">
        <v>111</v>
      </c>
      <c r="C192" s="66" t="s">
        <v>274</v>
      </c>
      <c r="D192" s="60" t="s">
        <v>275</v>
      </c>
      <c r="E192" s="38"/>
      <c r="F192" s="38"/>
      <c r="G192" s="61"/>
      <c r="H192" s="61">
        <v>6902.4390243902444</v>
      </c>
      <c r="I192" s="155">
        <v>6900</v>
      </c>
      <c r="J192" s="155">
        <v>108900</v>
      </c>
      <c r="K192" s="153">
        <f t="shared" si="2"/>
        <v>115800</v>
      </c>
      <c r="L192" s="33">
        <v>7630</v>
      </c>
      <c r="M192" s="328"/>
    </row>
    <row r="193" spans="1:13" s="307" customFormat="1" ht="31.8" hidden="1" x14ac:dyDescent="0.35">
      <c r="A193" s="36"/>
      <c r="B193" s="37"/>
      <c r="C193" s="66"/>
      <c r="D193" s="39" t="s">
        <v>269</v>
      </c>
      <c r="E193" s="38" t="s">
        <v>201</v>
      </c>
      <c r="F193" s="38">
        <v>0.2</v>
      </c>
      <c r="G193" s="61">
        <v>34512.195121951219</v>
      </c>
      <c r="H193" s="61">
        <v>6902.4390243902444</v>
      </c>
      <c r="I193" s="155"/>
      <c r="J193" s="155"/>
      <c r="K193" s="153">
        <f t="shared" ref="K193:K255" si="4">I193+J193</f>
        <v>0</v>
      </c>
      <c r="L193" s="33"/>
      <c r="M193" s="328"/>
    </row>
    <row r="194" spans="1:13" s="307" customFormat="1" ht="18" hidden="1" x14ac:dyDescent="0.35">
      <c r="A194" s="36" t="s">
        <v>276</v>
      </c>
      <c r="B194" s="65" t="s">
        <v>277</v>
      </c>
      <c r="C194" s="66" t="s">
        <v>278</v>
      </c>
      <c r="D194" s="60" t="s">
        <v>272</v>
      </c>
      <c r="E194" s="38"/>
      <c r="F194" s="38"/>
      <c r="G194" s="61"/>
      <c r="H194" s="61">
        <v>5443.8444444444449</v>
      </c>
      <c r="I194" s="155">
        <v>5450</v>
      </c>
      <c r="J194" s="155">
        <v>136100</v>
      </c>
      <c r="K194" s="153">
        <f t="shared" si="4"/>
        <v>141550</v>
      </c>
      <c r="L194" s="33">
        <v>12180</v>
      </c>
      <c r="M194" s="328"/>
    </row>
    <row r="195" spans="1:13" s="307" customFormat="1" ht="31.8" x14ac:dyDescent="0.35">
      <c r="A195" s="36" t="s">
        <v>113</v>
      </c>
      <c r="B195" s="65" t="s">
        <v>277</v>
      </c>
      <c r="C195" s="66" t="s">
        <v>312</v>
      </c>
      <c r="D195" s="39" t="s">
        <v>269</v>
      </c>
      <c r="E195" s="38" t="s">
        <v>201</v>
      </c>
      <c r="F195" s="38">
        <v>0.3</v>
      </c>
      <c r="G195" s="61">
        <v>18146.14814814815</v>
      </c>
      <c r="H195" s="61">
        <v>5443.8444444444449</v>
      </c>
      <c r="I195" s="155">
        <v>0.3</v>
      </c>
      <c r="J195" s="155">
        <v>10.89</v>
      </c>
      <c r="K195" s="153">
        <f t="shared" si="4"/>
        <v>11.190000000000001</v>
      </c>
      <c r="L195" s="61">
        <v>111900</v>
      </c>
      <c r="M195" s="61">
        <v>111900</v>
      </c>
    </row>
    <row r="196" spans="1:13" s="307" customFormat="1" ht="18" hidden="1" x14ac:dyDescent="0.35">
      <c r="A196" s="36"/>
      <c r="B196" s="65" t="s">
        <v>277</v>
      </c>
      <c r="C196" s="66" t="s">
        <v>112</v>
      </c>
      <c r="D196" s="60" t="s">
        <v>268</v>
      </c>
      <c r="E196" s="38"/>
      <c r="F196" s="38"/>
      <c r="G196" s="61"/>
      <c r="H196" s="61">
        <v>23032.2</v>
      </c>
      <c r="I196" s="155">
        <v>23050</v>
      </c>
      <c r="J196" s="155">
        <v>136100</v>
      </c>
      <c r="K196" s="153">
        <f t="shared" si="4"/>
        <v>159150</v>
      </c>
      <c r="L196" s="33">
        <v>16360</v>
      </c>
      <c r="M196" s="328"/>
    </row>
    <row r="197" spans="1:13" s="307" customFormat="1" ht="31.8" hidden="1" x14ac:dyDescent="0.35">
      <c r="A197" s="36"/>
      <c r="B197" s="65"/>
      <c r="C197" s="66"/>
      <c r="D197" s="39" t="s">
        <v>269</v>
      </c>
      <c r="E197" s="38" t="s">
        <v>201</v>
      </c>
      <c r="F197" s="38">
        <v>0.3</v>
      </c>
      <c r="G197" s="61">
        <v>76774</v>
      </c>
      <c r="H197" s="61">
        <v>23032.2</v>
      </c>
      <c r="I197" s="155"/>
      <c r="J197" s="155"/>
      <c r="K197" s="153">
        <f t="shared" si="4"/>
        <v>0</v>
      </c>
      <c r="L197" s="33"/>
      <c r="M197" s="328"/>
    </row>
    <row r="198" spans="1:13" s="307" customFormat="1" ht="18" hidden="1" x14ac:dyDescent="0.35">
      <c r="A198" s="36"/>
      <c r="B198" s="65" t="s">
        <v>277</v>
      </c>
      <c r="C198" s="66" t="s">
        <v>274</v>
      </c>
      <c r="D198" s="60" t="s">
        <v>275</v>
      </c>
      <c r="E198" s="38"/>
      <c r="F198" s="38"/>
      <c r="G198" s="61"/>
      <c r="H198" s="61">
        <v>10353.658536585366</v>
      </c>
      <c r="I198" s="155">
        <v>10350</v>
      </c>
      <c r="J198" s="155">
        <v>136100</v>
      </c>
      <c r="K198" s="153">
        <f t="shared" si="4"/>
        <v>146450</v>
      </c>
      <c r="L198" s="33">
        <v>16360</v>
      </c>
      <c r="M198" s="328"/>
    </row>
    <row r="199" spans="1:13" s="307" customFormat="1" ht="31.8" hidden="1" x14ac:dyDescent="0.35">
      <c r="A199" s="36"/>
      <c r="B199" s="65"/>
      <c r="C199" s="66"/>
      <c r="D199" s="39" t="s">
        <v>269</v>
      </c>
      <c r="E199" s="38" t="s">
        <v>201</v>
      </c>
      <c r="F199" s="38">
        <v>0.3</v>
      </c>
      <c r="G199" s="61">
        <v>34512.195121951219</v>
      </c>
      <c r="H199" s="61">
        <v>10353.658536585366</v>
      </c>
      <c r="I199" s="155"/>
      <c r="J199" s="155"/>
      <c r="K199" s="153">
        <f t="shared" si="4"/>
        <v>0</v>
      </c>
      <c r="L199" s="33"/>
      <c r="M199" s="328"/>
    </row>
    <row r="200" spans="1:13" s="307" customFormat="1" ht="18" hidden="1" x14ac:dyDescent="0.35">
      <c r="A200" s="36" t="s">
        <v>279</v>
      </c>
      <c r="B200" s="65" t="s">
        <v>116</v>
      </c>
      <c r="C200" s="66" t="s">
        <v>271</v>
      </c>
      <c r="D200" s="60" t="s">
        <v>272</v>
      </c>
      <c r="E200" s="38"/>
      <c r="F200" s="38"/>
      <c r="G200" s="61"/>
      <c r="H200" s="61">
        <v>7258.4592592592599</v>
      </c>
      <c r="I200" s="155">
        <v>7250</v>
      </c>
      <c r="J200" s="155">
        <v>163300</v>
      </c>
      <c r="K200" s="153">
        <f t="shared" si="4"/>
        <v>170550</v>
      </c>
      <c r="L200" s="33">
        <v>15600</v>
      </c>
      <c r="M200" s="328"/>
    </row>
    <row r="201" spans="1:13" s="307" customFormat="1" ht="31.8" x14ac:dyDescent="0.35">
      <c r="A201" s="36" t="s">
        <v>115</v>
      </c>
      <c r="B201" s="65" t="s">
        <v>116</v>
      </c>
      <c r="C201" s="66" t="s">
        <v>312</v>
      </c>
      <c r="D201" s="39" t="s">
        <v>269</v>
      </c>
      <c r="E201" s="38" t="s">
        <v>201</v>
      </c>
      <c r="F201" s="38">
        <v>0.4</v>
      </c>
      <c r="G201" s="61">
        <v>18146.14814814815</v>
      </c>
      <c r="H201" s="61">
        <v>7258.4592592592599</v>
      </c>
      <c r="I201" s="155">
        <v>0.41</v>
      </c>
      <c r="J201" s="155">
        <v>11.97</v>
      </c>
      <c r="K201" s="153">
        <f t="shared" si="4"/>
        <v>12.38</v>
      </c>
      <c r="L201" s="61">
        <v>123800</v>
      </c>
      <c r="M201" s="61">
        <v>123800</v>
      </c>
    </row>
    <row r="202" spans="1:13" s="307" customFormat="1" ht="18.75" hidden="1" customHeight="1" x14ac:dyDescent="0.35">
      <c r="A202" s="36"/>
      <c r="B202" s="65" t="s">
        <v>116</v>
      </c>
      <c r="C202" s="66" t="s">
        <v>273</v>
      </c>
      <c r="D202" s="60" t="s">
        <v>268</v>
      </c>
      <c r="E202" s="38"/>
      <c r="F202" s="38"/>
      <c r="G202" s="61"/>
      <c r="H202" s="61">
        <v>30709.600000000002</v>
      </c>
      <c r="I202" s="155">
        <v>30700</v>
      </c>
      <c r="J202" s="155">
        <v>163300</v>
      </c>
      <c r="K202" s="153">
        <f t="shared" si="4"/>
        <v>194000</v>
      </c>
      <c r="L202" s="33">
        <v>16830</v>
      </c>
      <c r="M202" s="328"/>
    </row>
    <row r="203" spans="1:13" s="307" customFormat="1" ht="56.25" hidden="1" customHeight="1" x14ac:dyDescent="0.35">
      <c r="A203" s="36"/>
      <c r="B203" s="37"/>
      <c r="C203" s="66"/>
      <c r="D203" s="39" t="s">
        <v>269</v>
      </c>
      <c r="E203" s="38" t="s">
        <v>201</v>
      </c>
      <c r="F203" s="38">
        <v>0.4</v>
      </c>
      <c r="G203" s="61">
        <v>76774</v>
      </c>
      <c r="H203" s="61">
        <v>30709.600000000002</v>
      </c>
      <c r="I203" s="155"/>
      <c r="J203" s="155"/>
      <c r="K203" s="153">
        <f t="shared" si="4"/>
        <v>0</v>
      </c>
      <c r="L203" s="33"/>
      <c r="M203" s="328"/>
    </row>
    <row r="204" spans="1:13" s="307" customFormat="1" ht="18.75" hidden="1" customHeight="1" x14ac:dyDescent="0.35">
      <c r="A204" s="36"/>
      <c r="B204" s="65" t="s">
        <v>116</v>
      </c>
      <c r="C204" s="66" t="s">
        <v>274</v>
      </c>
      <c r="D204" s="60" t="s">
        <v>275</v>
      </c>
      <c r="E204" s="38"/>
      <c r="F204" s="38"/>
      <c r="G204" s="61"/>
      <c r="H204" s="61">
        <v>13804.878048780489</v>
      </c>
      <c r="I204" s="155">
        <v>13800</v>
      </c>
      <c r="J204" s="155">
        <v>163300</v>
      </c>
      <c r="K204" s="153">
        <f t="shared" si="4"/>
        <v>177100</v>
      </c>
      <c r="L204" s="33">
        <v>16830</v>
      </c>
      <c r="M204" s="328"/>
    </row>
    <row r="205" spans="1:13" s="307" customFormat="1" ht="56.25" hidden="1" customHeight="1" x14ac:dyDescent="0.35">
      <c r="A205" s="36"/>
      <c r="B205" s="37"/>
      <c r="C205" s="66"/>
      <c r="D205" s="39" t="s">
        <v>269</v>
      </c>
      <c r="E205" s="38" t="s">
        <v>201</v>
      </c>
      <c r="F205" s="38">
        <v>0.4</v>
      </c>
      <c r="G205" s="61">
        <v>34512.195121951219</v>
      </c>
      <c r="H205" s="61">
        <v>13804.878048780489</v>
      </c>
      <c r="I205" s="155"/>
      <c r="J205" s="155"/>
      <c r="K205" s="153">
        <f t="shared" si="4"/>
        <v>0</v>
      </c>
      <c r="L205" s="33"/>
      <c r="M205" s="328"/>
    </row>
    <row r="206" spans="1:13" s="307" customFormat="1" ht="18" hidden="1" x14ac:dyDescent="0.35">
      <c r="A206" s="36" t="s">
        <v>280</v>
      </c>
      <c r="B206" s="65" t="s">
        <v>118</v>
      </c>
      <c r="C206" s="66" t="s">
        <v>271</v>
      </c>
      <c r="D206" s="60" t="s">
        <v>272</v>
      </c>
      <c r="E206" s="38"/>
      <c r="F206" s="38"/>
      <c r="G206" s="61"/>
      <c r="H206" s="61">
        <v>9073.0740740740748</v>
      </c>
      <c r="I206" s="155">
        <v>9050</v>
      </c>
      <c r="J206" s="155">
        <v>190500</v>
      </c>
      <c r="K206" s="153">
        <f t="shared" si="4"/>
        <v>199550</v>
      </c>
      <c r="L206" s="33">
        <v>19020</v>
      </c>
      <c r="M206" s="328"/>
    </row>
    <row r="207" spans="1:13" s="307" customFormat="1" ht="31.8" x14ac:dyDescent="0.35">
      <c r="A207" s="36" t="s">
        <v>117</v>
      </c>
      <c r="B207" s="65" t="s">
        <v>118</v>
      </c>
      <c r="C207" s="66" t="s">
        <v>312</v>
      </c>
      <c r="D207" s="39" t="s">
        <v>269</v>
      </c>
      <c r="E207" s="38" t="s">
        <v>201</v>
      </c>
      <c r="F207" s="38">
        <v>0.5</v>
      </c>
      <c r="G207" s="61">
        <v>18146.14814814815</v>
      </c>
      <c r="H207" s="61">
        <v>9073.0740740740748</v>
      </c>
      <c r="I207" s="155">
        <v>0.51</v>
      </c>
      <c r="J207" s="155">
        <v>16.329999999999998</v>
      </c>
      <c r="K207" s="153">
        <f t="shared" si="4"/>
        <v>16.84</v>
      </c>
      <c r="L207" s="61">
        <v>168400</v>
      </c>
      <c r="M207" s="61">
        <v>168400</v>
      </c>
    </row>
    <row r="208" spans="1:13" s="307" customFormat="1" ht="18" hidden="1" x14ac:dyDescent="0.35">
      <c r="A208" s="40"/>
      <c r="B208" s="41" t="s">
        <v>118</v>
      </c>
      <c r="C208" s="53" t="s">
        <v>273</v>
      </c>
      <c r="D208" s="54" t="s">
        <v>268</v>
      </c>
      <c r="E208" s="42"/>
      <c r="F208" s="42"/>
      <c r="G208" s="44"/>
      <c r="H208" s="44">
        <v>38387</v>
      </c>
      <c r="I208" s="154">
        <v>38400</v>
      </c>
      <c r="J208" s="154">
        <v>190500</v>
      </c>
      <c r="K208" s="153">
        <f t="shared" si="4"/>
        <v>228900</v>
      </c>
      <c r="L208" s="33">
        <v>20560</v>
      </c>
      <c r="M208" s="328"/>
    </row>
    <row r="209" spans="1:13" s="307" customFormat="1" ht="31.8" hidden="1" x14ac:dyDescent="0.35">
      <c r="A209" s="40"/>
      <c r="B209" s="45"/>
      <c r="C209" s="53"/>
      <c r="D209" s="43" t="s">
        <v>269</v>
      </c>
      <c r="E209" s="42" t="s">
        <v>201</v>
      </c>
      <c r="F209" s="42">
        <v>0.5</v>
      </c>
      <c r="G209" s="44">
        <v>76774</v>
      </c>
      <c r="H209" s="44">
        <v>38387</v>
      </c>
      <c r="I209" s="154"/>
      <c r="J209" s="154"/>
      <c r="K209" s="153">
        <f t="shared" si="4"/>
        <v>0</v>
      </c>
      <c r="L209" s="33"/>
      <c r="M209" s="328"/>
    </row>
    <row r="210" spans="1:13" s="307" customFormat="1" ht="18" hidden="1" x14ac:dyDescent="0.35">
      <c r="A210" s="40"/>
      <c r="B210" s="41" t="s">
        <v>118</v>
      </c>
      <c r="C210" s="53" t="s">
        <v>274</v>
      </c>
      <c r="D210" s="54" t="s">
        <v>275</v>
      </c>
      <c r="E210" s="42"/>
      <c r="F210" s="42"/>
      <c r="G210" s="44"/>
      <c r="H210" s="44">
        <v>17256.09756097561</v>
      </c>
      <c r="I210" s="154">
        <v>17250</v>
      </c>
      <c r="J210" s="154">
        <v>190500</v>
      </c>
      <c r="K210" s="153">
        <f t="shared" si="4"/>
        <v>207750</v>
      </c>
      <c r="L210" s="33">
        <v>20560</v>
      </c>
      <c r="M210" s="328"/>
    </row>
    <row r="211" spans="1:13" s="307" customFormat="1" ht="31.8" hidden="1" x14ac:dyDescent="0.35">
      <c r="A211" s="40"/>
      <c r="B211" s="45"/>
      <c r="C211" s="53"/>
      <c r="D211" s="43" t="s">
        <v>269</v>
      </c>
      <c r="E211" s="42" t="s">
        <v>201</v>
      </c>
      <c r="F211" s="42">
        <v>0.5</v>
      </c>
      <c r="G211" s="44">
        <v>34512.195121951219</v>
      </c>
      <c r="H211" s="44">
        <v>17256.09756097561</v>
      </c>
      <c r="I211" s="154"/>
      <c r="J211" s="154"/>
      <c r="K211" s="153">
        <f t="shared" si="4"/>
        <v>0</v>
      </c>
      <c r="L211" s="33"/>
      <c r="M211" s="328"/>
    </row>
    <row r="212" spans="1:13" s="307" customFormat="1" ht="90" x14ac:dyDescent="0.35">
      <c r="A212" s="29" t="s">
        <v>121</v>
      </c>
      <c r="B212" s="30" t="s">
        <v>122</v>
      </c>
      <c r="C212" s="56" t="s">
        <v>123</v>
      </c>
      <c r="D212" s="34"/>
      <c r="E212" s="31"/>
      <c r="F212" s="31"/>
      <c r="G212" s="33"/>
      <c r="H212" s="33"/>
      <c r="I212" s="153"/>
      <c r="J212" s="153"/>
      <c r="K212" s="153"/>
      <c r="L212" s="33"/>
      <c r="M212" s="328"/>
    </row>
    <row r="213" spans="1:13" s="307" customFormat="1" ht="36" x14ac:dyDescent="0.35">
      <c r="A213" s="29" t="s">
        <v>124</v>
      </c>
      <c r="B213" s="30" t="s">
        <v>111</v>
      </c>
      <c r="C213" s="31" t="s">
        <v>51</v>
      </c>
      <c r="D213" s="57" t="s">
        <v>229</v>
      </c>
      <c r="E213" s="31"/>
      <c r="F213" s="31"/>
      <c r="G213" s="33"/>
      <c r="H213" s="33">
        <v>8061.5519999999997</v>
      </c>
      <c r="I213" s="153">
        <v>0.81</v>
      </c>
      <c r="J213" s="153">
        <v>108900</v>
      </c>
      <c r="K213" s="153">
        <f t="shared" si="4"/>
        <v>108900.81</v>
      </c>
      <c r="L213" s="33">
        <v>117000</v>
      </c>
      <c r="M213" s="33">
        <v>117000</v>
      </c>
    </row>
    <row r="214" spans="1:13" s="307" customFormat="1" ht="18" hidden="1" x14ac:dyDescent="0.35">
      <c r="A214" s="29"/>
      <c r="B214" s="27"/>
      <c r="C214" s="31" t="s">
        <v>51</v>
      </c>
      <c r="D214" s="34" t="s">
        <v>281</v>
      </c>
      <c r="E214" s="31" t="s">
        <v>201</v>
      </c>
      <c r="F214" s="31">
        <v>0.3</v>
      </c>
      <c r="G214" s="35">
        <v>26871.84</v>
      </c>
      <c r="H214" s="33">
        <v>8061.5519999999997</v>
      </c>
      <c r="I214" s="153"/>
      <c r="J214" s="153"/>
      <c r="K214" s="153">
        <f t="shared" si="4"/>
        <v>0</v>
      </c>
      <c r="L214" s="33"/>
      <c r="M214" s="328"/>
    </row>
    <row r="215" spans="1:13" s="307" customFormat="1" ht="18" x14ac:dyDescent="0.35">
      <c r="A215" s="29" t="s">
        <v>125</v>
      </c>
      <c r="B215" s="30" t="s">
        <v>114</v>
      </c>
      <c r="C215" s="31" t="s">
        <v>51</v>
      </c>
      <c r="D215" s="57" t="s">
        <v>229</v>
      </c>
      <c r="E215" s="31"/>
      <c r="F215" s="31"/>
      <c r="G215" s="33"/>
      <c r="H215" s="33">
        <v>10748.736000000001</v>
      </c>
      <c r="I215" s="153">
        <v>1.08</v>
      </c>
      <c r="J215" s="153">
        <v>13.61</v>
      </c>
      <c r="K215" s="153">
        <f t="shared" si="4"/>
        <v>14.69</v>
      </c>
      <c r="L215" s="33">
        <v>146900</v>
      </c>
      <c r="M215" s="33">
        <v>146900</v>
      </c>
    </row>
    <row r="216" spans="1:13" s="307" customFormat="1" ht="18.600000000000001" hidden="1" customHeight="1" x14ac:dyDescent="0.35">
      <c r="A216" s="29"/>
      <c r="B216" s="27"/>
      <c r="C216" s="31" t="s">
        <v>51</v>
      </c>
      <c r="D216" s="34" t="s">
        <v>281</v>
      </c>
      <c r="E216" s="31" t="s">
        <v>201</v>
      </c>
      <c r="F216" s="31">
        <v>0.4</v>
      </c>
      <c r="G216" s="48">
        <v>26871.84</v>
      </c>
      <c r="H216" s="33">
        <v>10748.736000000001</v>
      </c>
      <c r="I216" s="153"/>
      <c r="J216" s="153"/>
      <c r="K216" s="153">
        <f t="shared" si="4"/>
        <v>0</v>
      </c>
      <c r="L216" s="33"/>
      <c r="M216" s="328"/>
    </row>
    <row r="217" spans="1:13" s="307" customFormat="1" ht="22.5" customHeight="1" x14ac:dyDescent="0.35">
      <c r="A217" s="29" t="s">
        <v>126</v>
      </c>
      <c r="B217" s="30" t="s">
        <v>116</v>
      </c>
      <c r="C217" s="31" t="s">
        <v>51</v>
      </c>
      <c r="D217" s="57" t="s">
        <v>229</v>
      </c>
      <c r="E217" s="31"/>
      <c r="F217" s="31"/>
      <c r="G217" s="33"/>
      <c r="H217" s="33">
        <v>13435.92</v>
      </c>
      <c r="I217" s="153">
        <v>1.35</v>
      </c>
      <c r="J217" s="153">
        <v>16.329999999999998</v>
      </c>
      <c r="K217" s="153">
        <f>I217+J217</f>
        <v>17.68</v>
      </c>
      <c r="L217" s="33">
        <v>176800</v>
      </c>
      <c r="M217" s="33">
        <v>176800</v>
      </c>
    </row>
    <row r="218" spans="1:13" s="307" customFormat="1" ht="18" hidden="1" x14ac:dyDescent="0.35">
      <c r="A218" s="29"/>
      <c r="B218" s="27"/>
      <c r="C218" s="31" t="s">
        <v>51</v>
      </c>
      <c r="D218" s="34" t="s">
        <v>281</v>
      </c>
      <c r="E218" s="31" t="s">
        <v>201</v>
      </c>
      <c r="F218" s="31">
        <v>0.5</v>
      </c>
      <c r="G218" s="48">
        <v>26871.84</v>
      </c>
      <c r="H218" s="33">
        <v>13435.92</v>
      </c>
      <c r="I218" s="153"/>
      <c r="J218" s="153"/>
      <c r="K218" s="153">
        <f t="shared" si="4"/>
        <v>0</v>
      </c>
      <c r="L218" s="33"/>
      <c r="M218" s="328"/>
    </row>
    <row r="219" spans="1:13" s="307" customFormat="1" ht="18" x14ac:dyDescent="0.35">
      <c r="A219" s="29" t="s">
        <v>127</v>
      </c>
      <c r="B219" s="30" t="s">
        <v>118</v>
      </c>
      <c r="C219" s="31" t="s">
        <v>51</v>
      </c>
      <c r="D219" s="57" t="s">
        <v>229</v>
      </c>
      <c r="E219" s="31"/>
      <c r="F219" s="31"/>
      <c r="G219" s="33"/>
      <c r="H219" s="33">
        <v>16123.103999999999</v>
      </c>
      <c r="I219" s="153">
        <v>1.61</v>
      </c>
      <c r="J219" s="153">
        <v>19.05</v>
      </c>
      <c r="K219" s="153">
        <f t="shared" si="4"/>
        <v>20.66</v>
      </c>
      <c r="L219" s="33">
        <v>206600</v>
      </c>
      <c r="M219" s="33">
        <v>206600</v>
      </c>
    </row>
    <row r="220" spans="1:13" s="307" customFormat="1" ht="18" hidden="1" x14ac:dyDescent="0.35">
      <c r="A220" s="29"/>
      <c r="B220" s="27"/>
      <c r="C220" s="31"/>
      <c r="D220" s="34" t="s">
        <v>281</v>
      </c>
      <c r="E220" s="31" t="s">
        <v>201</v>
      </c>
      <c r="F220" s="31">
        <v>0.6</v>
      </c>
      <c r="G220" s="48">
        <v>26871.84</v>
      </c>
      <c r="H220" s="33">
        <v>16123.103999999999</v>
      </c>
      <c r="I220" s="153"/>
      <c r="J220" s="153"/>
      <c r="K220" s="153">
        <f t="shared" si="4"/>
        <v>0</v>
      </c>
      <c r="L220" s="33"/>
      <c r="M220" s="328"/>
    </row>
    <row r="221" spans="1:13" s="307" customFormat="1" ht="36" x14ac:dyDescent="0.35">
      <c r="A221" s="29" t="s">
        <v>128</v>
      </c>
      <c r="B221" s="30" t="s">
        <v>129</v>
      </c>
      <c r="C221" s="31" t="s">
        <v>51</v>
      </c>
      <c r="D221" s="34"/>
      <c r="E221" s="31"/>
      <c r="F221" s="31"/>
      <c r="G221" s="33"/>
      <c r="H221" s="33">
        <v>3081</v>
      </c>
      <c r="I221" s="153">
        <v>0.31</v>
      </c>
      <c r="J221" s="153">
        <v>10.89</v>
      </c>
      <c r="K221" s="153">
        <f t="shared" si="4"/>
        <v>11.200000000000001</v>
      </c>
      <c r="L221" s="33">
        <v>112000</v>
      </c>
      <c r="M221" s="33">
        <v>112000</v>
      </c>
    </row>
    <row r="222" spans="1:13" s="307" customFormat="1" ht="18" hidden="1" x14ac:dyDescent="0.35">
      <c r="A222" s="29"/>
      <c r="B222" s="27"/>
      <c r="C222" s="31"/>
      <c r="D222" s="34" t="s">
        <v>194</v>
      </c>
      <c r="E222" s="31" t="s">
        <v>185</v>
      </c>
      <c r="F222" s="31">
        <v>0.3</v>
      </c>
      <c r="G222" s="33">
        <v>10270</v>
      </c>
      <c r="H222" s="33">
        <v>3081</v>
      </c>
      <c r="I222" s="153"/>
      <c r="J222" s="153"/>
      <c r="K222" s="153">
        <f t="shared" si="4"/>
        <v>0</v>
      </c>
      <c r="L222" s="33"/>
      <c r="M222" s="328"/>
    </row>
    <row r="223" spans="1:13" s="307" customFormat="1" ht="36" hidden="1" x14ac:dyDescent="0.35">
      <c r="A223" s="40" t="s">
        <v>282</v>
      </c>
      <c r="B223" s="41" t="s">
        <v>283</v>
      </c>
      <c r="C223" s="42" t="s">
        <v>51</v>
      </c>
      <c r="D223" s="43"/>
      <c r="E223" s="42"/>
      <c r="F223" s="42"/>
      <c r="G223" s="44"/>
      <c r="H223" s="44">
        <v>3081</v>
      </c>
      <c r="I223" s="154">
        <v>3100</v>
      </c>
      <c r="J223" s="154">
        <v>54400</v>
      </c>
      <c r="K223" s="153">
        <f t="shared" si="4"/>
        <v>57500</v>
      </c>
      <c r="L223" s="33">
        <v>5760</v>
      </c>
      <c r="M223" s="328"/>
    </row>
    <row r="224" spans="1:13" s="307" customFormat="1" ht="18" hidden="1" x14ac:dyDescent="0.35">
      <c r="A224" s="40"/>
      <c r="B224" s="45"/>
      <c r="C224" s="42"/>
      <c r="D224" s="43" t="s">
        <v>194</v>
      </c>
      <c r="E224" s="42" t="s">
        <v>185</v>
      </c>
      <c r="F224" s="42">
        <v>0.3</v>
      </c>
      <c r="G224" s="44">
        <v>10270</v>
      </c>
      <c r="H224" s="44">
        <v>3081</v>
      </c>
      <c r="I224" s="154"/>
      <c r="J224" s="154"/>
      <c r="K224" s="153">
        <f t="shared" si="4"/>
        <v>0</v>
      </c>
      <c r="L224" s="33"/>
      <c r="M224" s="328"/>
    </row>
    <row r="225" spans="1:13" s="307" customFormat="1" ht="54" hidden="1" x14ac:dyDescent="0.35">
      <c r="A225" s="40" t="s">
        <v>284</v>
      </c>
      <c r="B225" s="41" t="s">
        <v>285</v>
      </c>
      <c r="C225" s="42" t="s">
        <v>51</v>
      </c>
      <c r="D225" s="43"/>
      <c r="E225" s="42"/>
      <c r="F225" s="42"/>
      <c r="G225" s="44"/>
      <c r="H225" s="44">
        <v>3081</v>
      </c>
      <c r="I225" s="154">
        <v>3100</v>
      </c>
      <c r="J225" s="154">
        <v>81600</v>
      </c>
      <c r="K225" s="153">
        <f t="shared" si="4"/>
        <v>84700</v>
      </c>
      <c r="L225" s="33">
        <v>7680</v>
      </c>
      <c r="M225" s="328"/>
    </row>
    <row r="226" spans="1:13" s="307" customFormat="1" ht="18" hidden="1" x14ac:dyDescent="0.35">
      <c r="A226" s="40"/>
      <c r="B226" s="45"/>
      <c r="C226" s="42"/>
      <c r="D226" s="43" t="s">
        <v>194</v>
      </c>
      <c r="E226" s="42" t="s">
        <v>185</v>
      </c>
      <c r="F226" s="42">
        <v>0.3</v>
      </c>
      <c r="G226" s="44">
        <v>10270</v>
      </c>
      <c r="H226" s="44">
        <v>3081</v>
      </c>
      <c r="I226" s="154"/>
      <c r="J226" s="154"/>
      <c r="K226" s="153">
        <f t="shared" si="4"/>
        <v>0</v>
      </c>
      <c r="L226" s="33"/>
      <c r="M226" s="328"/>
    </row>
    <row r="227" spans="1:13" s="307" customFormat="1" ht="54" hidden="1" x14ac:dyDescent="0.35">
      <c r="A227" s="40" t="s">
        <v>286</v>
      </c>
      <c r="B227" s="41" t="s">
        <v>287</v>
      </c>
      <c r="C227" s="42" t="s">
        <v>51</v>
      </c>
      <c r="D227" s="43"/>
      <c r="E227" s="42"/>
      <c r="F227" s="42"/>
      <c r="G227" s="44"/>
      <c r="H227" s="44">
        <v>3081</v>
      </c>
      <c r="I227" s="154">
        <v>3100</v>
      </c>
      <c r="J227" s="154">
        <v>136100</v>
      </c>
      <c r="K227" s="153">
        <f t="shared" si="4"/>
        <v>139200</v>
      </c>
      <c r="L227" s="33">
        <v>11500</v>
      </c>
      <c r="M227" s="328"/>
    </row>
    <row r="228" spans="1:13" s="307" customFormat="1" ht="28.5" hidden="1" customHeight="1" x14ac:dyDescent="0.35">
      <c r="A228" s="40"/>
      <c r="B228" s="45"/>
      <c r="C228" s="42"/>
      <c r="D228" s="43" t="s">
        <v>194</v>
      </c>
      <c r="E228" s="42" t="s">
        <v>185</v>
      </c>
      <c r="F228" s="42">
        <v>0.3</v>
      </c>
      <c r="G228" s="44">
        <v>10270</v>
      </c>
      <c r="H228" s="44">
        <v>3081</v>
      </c>
      <c r="I228" s="154"/>
      <c r="J228" s="154"/>
      <c r="K228" s="153">
        <f t="shared" si="4"/>
        <v>0</v>
      </c>
      <c r="L228" s="33"/>
      <c r="M228" s="328"/>
    </row>
    <row r="229" spans="1:13" s="307" customFormat="1" ht="54" hidden="1" x14ac:dyDescent="0.35">
      <c r="A229" s="40" t="s">
        <v>288</v>
      </c>
      <c r="B229" s="41" t="s">
        <v>289</v>
      </c>
      <c r="C229" s="42" t="s">
        <v>51</v>
      </c>
      <c r="D229" s="43"/>
      <c r="E229" s="42"/>
      <c r="F229" s="42"/>
      <c r="G229" s="44"/>
      <c r="H229" s="44">
        <v>3081</v>
      </c>
      <c r="I229" s="154">
        <v>3100</v>
      </c>
      <c r="J229" s="154">
        <v>163300</v>
      </c>
      <c r="K229" s="153">
        <f t="shared" si="4"/>
        <v>166400</v>
      </c>
      <c r="L229" s="33">
        <v>15330</v>
      </c>
      <c r="M229" s="328"/>
    </row>
    <row r="230" spans="1:13" s="307" customFormat="1" ht="18" hidden="1" x14ac:dyDescent="0.35">
      <c r="A230" s="40"/>
      <c r="B230" s="45"/>
      <c r="C230" s="42"/>
      <c r="D230" s="43" t="s">
        <v>194</v>
      </c>
      <c r="E230" s="42" t="s">
        <v>185</v>
      </c>
      <c r="F230" s="42">
        <v>0.3</v>
      </c>
      <c r="G230" s="44">
        <v>10270</v>
      </c>
      <c r="H230" s="44">
        <v>3081</v>
      </c>
      <c r="I230" s="154"/>
      <c r="J230" s="154"/>
      <c r="K230" s="153">
        <f t="shared" si="4"/>
        <v>0</v>
      </c>
      <c r="L230" s="33"/>
      <c r="M230" s="328"/>
    </row>
    <row r="231" spans="1:13" s="307" customFormat="1" ht="18" x14ac:dyDescent="0.35">
      <c r="A231" s="29" t="s">
        <v>130</v>
      </c>
      <c r="B231" s="30" t="s">
        <v>131</v>
      </c>
      <c r="C231" s="31" t="s">
        <v>51</v>
      </c>
      <c r="D231" s="34"/>
      <c r="E231" s="31"/>
      <c r="F231" s="31"/>
      <c r="G231" s="33"/>
      <c r="H231" s="33">
        <v>1121.5999999999999</v>
      </c>
      <c r="I231" s="153">
        <v>0.11</v>
      </c>
      <c r="J231" s="153">
        <v>2.1800000000000002</v>
      </c>
      <c r="K231" s="153">
        <f t="shared" si="4"/>
        <v>2.29</v>
      </c>
      <c r="L231" s="33">
        <v>22900</v>
      </c>
      <c r="M231" s="33">
        <v>22900</v>
      </c>
    </row>
    <row r="232" spans="1:13" s="307" customFormat="1" ht="18" hidden="1" x14ac:dyDescent="0.35">
      <c r="A232" s="29"/>
      <c r="B232" s="27"/>
      <c r="C232" s="31"/>
      <c r="D232" s="39" t="s">
        <v>290</v>
      </c>
      <c r="E232" s="38" t="s">
        <v>291</v>
      </c>
      <c r="F232" s="67" t="s">
        <v>292</v>
      </c>
      <c r="G232" s="33">
        <v>941</v>
      </c>
      <c r="H232" s="33">
        <v>941</v>
      </c>
      <c r="I232" s="153"/>
      <c r="J232" s="153"/>
      <c r="K232" s="153">
        <f t="shared" si="4"/>
        <v>0</v>
      </c>
      <c r="L232" s="33"/>
      <c r="M232" s="328"/>
    </row>
    <row r="233" spans="1:13" s="307" customFormat="1" ht="18" hidden="1" x14ac:dyDescent="0.35">
      <c r="A233" s="29"/>
      <c r="B233" s="27"/>
      <c r="C233" s="31"/>
      <c r="D233" s="39" t="s">
        <v>293</v>
      </c>
      <c r="E233" s="38" t="s">
        <v>185</v>
      </c>
      <c r="F233" s="67" t="s">
        <v>292</v>
      </c>
      <c r="G233" s="33">
        <v>180.6</v>
      </c>
      <c r="H233" s="33">
        <v>180.6</v>
      </c>
      <c r="I233" s="153"/>
      <c r="J233" s="153"/>
      <c r="K233" s="153">
        <f t="shared" si="4"/>
        <v>0</v>
      </c>
      <c r="L233" s="33"/>
      <c r="M233" s="328"/>
    </row>
    <row r="234" spans="1:13" s="307" customFormat="1" ht="36" x14ac:dyDescent="0.35">
      <c r="A234" s="29" t="s">
        <v>119</v>
      </c>
      <c r="B234" s="30" t="s">
        <v>132</v>
      </c>
      <c r="C234" s="31"/>
      <c r="D234" s="34"/>
      <c r="E234" s="31"/>
      <c r="F234" s="31"/>
      <c r="G234" s="33"/>
      <c r="H234" s="33"/>
      <c r="I234" s="153"/>
      <c r="J234" s="153"/>
      <c r="K234" s="153"/>
      <c r="L234" s="33"/>
      <c r="M234" s="328"/>
    </row>
    <row r="235" spans="1:13" s="307" customFormat="1" ht="18" x14ac:dyDescent="0.35">
      <c r="A235" s="36" t="s">
        <v>120</v>
      </c>
      <c r="B235" s="65" t="s">
        <v>294</v>
      </c>
      <c r="C235" s="38" t="s">
        <v>51</v>
      </c>
      <c r="D235" s="39"/>
      <c r="E235" s="38"/>
      <c r="F235" s="38"/>
      <c r="G235" s="61"/>
      <c r="H235" s="61">
        <v>5472.7391666666663</v>
      </c>
      <c r="I235" s="155">
        <v>1.61</v>
      </c>
      <c r="J235" s="155">
        <v>4.3499999999999996</v>
      </c>
      <c r="K235" s="153">
        <f>I235+J235</f>
        <v>5.96</v>
      </c>
      <c r="L235" s="61">
        <v>59600</v>
      </c>
      <c r="M235" s="61">
        <v>59600</v>
      </c>
    </row>
    <row r="236" spans="1:13" s="307" customFormat="1" ht="18" hidden="1" x14ac:dyDescent="0.35">
      <c r="A236" s="40"/>
      <c r="B236" s="45"/>
      <c r="C236" s="42"/>
      <c r="D236" s="43" t="s">
        <v>198</v>
      </c>
      <c r="E236" s="42" t="s">
        <v>185</v>
      </c>
      <c r="F236" s="42">
        <v>0.1</v>
      </c>
      <c r="G236" s="44">
        <v>4320</v>
      </c>
      <c r="H236" s="44">
        <v>432</v>
      </c>
      <c r="I236" s="154"/>
      <c r="J236" s="154"/>
      <c r="K236" s="153">
        <f t="shared" si="4"/>
        <v>0</v>
      </c>
      <c r="L236" s="33"/>
      <c r="M236" s="328"/>
    </row>
    <row r="237" spans="1:13" s="307" customFormat="1" ht="31.8" hidden="1" x14ac:dyDescent="0.35">
      <c r="A237" s="40"/>
      <c r="B237" s="45"/>
      <c r="C237" s="42"/>
      <c r="D237" s="43" t="s">
        <v>199</v>
      </c>
      <c r="E237" s="42" t="s">
        <v>185</v>
      </c>
      <c r="F237" s="42">
        <v>0.2</v>
      </c>
      <c r="G237" s="44">
        <v>1320</v>
      </c>
      <c r="H237" s="44">
        <v>264</v>
      </c>
      <c r="I237" s="154"/>
      <c r="J237" s="154"/>
      <c r="K237" s="153">
        <f t="shared" si="4"/>
        <v>0</v>
      </c>
      <c r="L237" s="33"/>
      <c r="M237" s="328"/>
    </row>
    <row r="238" spans="1:13" s="307" customFormat="1" ht="31.8" hidden="1" x14ac:dyDescent="0.35">
      <c r="A238" s="40"/>
      <c r="B238" s="45"/>
      <c r="C238" s="42"/>
      <c r="D238" s="43" t="s">
        <v>200</v>
      </c>
      <c r="E238" s="42" t="s">
        <v>201</v>
      </c>
      <c r="F238" s="42">
        <v>0.2</v>
      </c>
      <c r="G238" s="44">
        <v>248.96666666666667</v>
      </c>
      <c r="H238" s="44">
        <v>49.793333333333337</v>
      </c>
      <c r="I238" s="154"/>
      <c r="J238" s="154"/>
      <c r="K238" s="153">
        <f t="shared" si="4"/>
        <v>0</v>
      </c>
      <c r="L238" s="33"/>
      <c r="M238" s="328"/>
    </row>
    <row r="239" spans="1:13" s="307" customFormat="1" ht="28.5" hidden="1" customHeight="1" x14ac:dyDescent="0.35">
      <c r="A239" s="40"/>
      <c r="B239" s="45"/>
      <c r="C239" s="42"/>
      <c r="D239" s="43" t="s">
        <v>194</v>
      </c>
      <c r="E239" s="42" t="s">
        <v>185</v>
      </c>
      <c r="F239" s="42">
        <v>0.2</v>
      </c>
      <c r="G239" s="44">
        <v>10270</v>
      </c>
      <c r="H239" s="44">
        <v>2054</v>
      </c>
      <c r="I239" s="154"/>
      <c r="J239" s="154"/>
      <c r="K239" s="153">
        <f t="shared" si="4"/>
        <v>0</v>
      </c>
      <c r="L239" s="33"/>
      <c r="M239" s="328"/>
    </row>
    <row r="240" spans="1:13" s="307" customFormat="1" ht="43.2" hidden="1" customHeight="1" x14ac:dyDescent="0.35">
      <c r="A240" s="40"/>
      <c r="B240" s="45"/>
      <c r="C240" s="42"/>
      <c r="D240" s="43" t="s">
        <v>195</v>
      </c>
      <c r="E240" s="42" t="s">
        <v>185</v>
      </c>
      <c r="F240" s="42">
        <v>0.2</v>
      </c>
      <c r="G240" s="44">
        <v>3100</v>
      </c>
      <c r="H240" s="44">
        <v>620</v>
      </c>
      <c r="I240" s="154"/>
      <c r="J240" s="154"/>
      <c r="K240" s="153">
        <f t="shared" si="4"/>
        <v>0</v>
      </c>
      <c r="L240" s="33"/>
      <c r="M240" s="328"/>
    </row>
    <row r="241" spans="1:13" s="307" customFormat="1" ht="39.75" hidden="1" customHeight="1" x14ac:dyDescent="0.35">
      <c r="A241" s="40"/>
      <c r="B241" s="45"/>
      <c r="C241" s="42"/>
      <c r="D241" s="43" t="s">
        <v>196</v>
      </c>
      <c r="E241" s="42" t="s">
        <v>185</v>
      </c>
      <c r="F241" s="42">
        <v>0.1</v>
      </c>
      <c r="G241" s="44">
        <v>8400</v>
      </c>
      <c r="H241" s="44">
        <v>840</v>
      </c>
      <c r="I241" s="154"/>
      <c r="J241" s="154"/>
      <c r="K241" s="153">
        <f t="shared" si="4"/>
        <v>0</v>
      </c>
      <c r="L241" s="33"/>
      <c r="M241" s="328"/>
    </row>
    <row r="242" spans="1:13" s="307" customFormat="1" ht="18" hidden="1" x14ac:dyDescent="0.35">
      <c r="A242" s="40"/>
      <c r="B242" s="45"/>
      <c r="C242" s="42"/>
      <c r="D242" s="43" t="s">
        <v>197</v>
      </c>
      <c r="E242" s="42" t="s">
        <v>185</v>
      </c>
      <c r="F242" s="42">
        <v>0.1</v>
      </c>
      <c r="G242" s="44">
        <v>3100</v>
      </c>
      <c r="H242" s="44">
        <v>310</v>
      </c>
      <c r="I242" s="154"/>
      <c r="J242" s="154"/>
      <c r="K242" s="153">
        <f t="shared" si="4"/>
        <v>0</v>
      </c>
      <c r="L242" s="33"/>
      <c r="M242" s="328"/>
    </row>
    <row r="243" spans="1:13" s="307" customFormat="1" ht="18" hidden="1" x14ac:dyDescent="0.35">
      <c r="A243" s="40"/>
      <c r="B243" s="45"/>
      <c r="C243" s="42"/>
      <c r="D243" s="43" t="s">
        <v>203</v>
      </c>
      <c r="E243" s="42" t="s">
        <v>185</v>
      </c>
      <c r="F243" s="42">
        <v>1</v>
      </c>
      <c r="G243" s="44">
        <v>399.46666666666664</v>
      </c>
      <c r="H243" s="44">
        <v>399.46666666666664</v>
      </c>
      <c r="I243" s="154"/>
      <c r="J243" s="154"/>
      <c r="K243" s="153">
        <f t="shared" si="4"/>
        <v>0</v>
      </c>
      <c r="L243" s="33"/>
      <c r="M243" s="328"/>
    </row>
    <row r="244" spans="1:13" s="307" customFormat="1" ht="18" hidden="1" x14ac:dyDescent="0.35">
      <c r="A244" s="40"/>
      <c r="B244" s="45"/>
      <c r="C244" s="42"/>
      <c r="D244" s="43" t="s">
        <v>204</v>
      </c>
      <c r="E244" s="42" t="s">
        <v>185</v>
      </c>
      <c r="F244" s="42">
        <v>0.25</v>
      </c>
      <c r="G244" s="44">
        <v>2013.9166666666667</v>
      </c>
      <c r="H244" s="44">
        <v>503.47916666666669</v>
      </c>
      <c r="I244" s="154"/>
      <c r="J244" s="154"/>
      <c r="K244" s="153">
        <f t="shared" si="4"/>
        <v>0</v>
      </c>
      <c r="L244" s="33"/>
      <c r="M244" s="328"/>
    </row>
    <row r="245" spans="1:13" s="307" customFormat="1" ht="18" x14ac:dyDescent="0.35">
      <c r="A245" s="29" t="s">
        <v>276</v>
      </c>
      <c r="B245" s="30" t="s">
        <v>133</v>
      </c>
      <c r="C245" s="31" t="s">
        <v>51</v>
      </c>
      <c r="D245" s="34"/>
      <c r="E245" s="31"/>
      <c r="F245" s="31"/>
      <c r="G245" s="33"/>
      <c r="H245" s="33">
        <v>6709.9849999999997</v>
      </c>
      <c r="I245" s="153">
        <v>0.67</v>
      </c>
      <c r="J245" s="153">
        <v>8.16</v>
      </c>
      <c r="K245" s="153">
        <f t="shared" si="4"/>
        <v>8.83</v>
      </c>
      <c r="L245" s="33">
        <v>88300</v>
      </c>
      <c r="M245" s="33">
        <v>88300</v>
      </c>
    </row>
    <row r="246" spans="1:13" s="307" customFormat="1" ht="18" hidden="1" x14ac:dyDescent="0.35">
      <c r="A246" s="29"/>
      <c r="B246" s="27"/>
      <c r="C246" s="31"/>
      <c r="D246" s="34" t="s">
        <v>198</v>
      </c>
      <c r="E246" s="31" t="s">
        <v>185</v>
      </c>
      <c r="F246" s="31">
        <v>0.1</v>
      </c>
      <c r="G246" s="33">
        <v>4320</v>
      </c>
      <c r="H246" s="33">
        <v>432</v>
      </c>
      <c r="I246" s="153"/>
      <c r="J246" s="153"/>
      <c r="K246" s="153">
        <f t="shared" si="4"/>
        <v>0</v>
      </c>
      <c r="L246" s="33"/>
      <c r="M246" s="328"/>
    </row>
    <row r="247" spans="1:13" s="307" customFormat="1" ht="38.4" hidden="1" customHeight="1" x14ac:dyDescent="0.35">
      <c r="A247" s="29"/>
      <c r="B247" s="27"/>
      <c r="C247" s="31"/>
      <c r="D247" s="34" t="s">
        <v>199</v>
      </c>
      <c r="E247" s="31" t="s">
        <v>185</v>
      </c>
      <c r="F247" s="31">
        <v>0.2</v>
      </c>
      <c r="G247" s="33">
        <v>1320</v>
      </c>
      <c r="H247" s="33">
        <v>264</v>
      </c>
      <c r="I247" s="153"/>
      <c r="J247" s="153"/>
      <c r="K247" s="153">
        <f t="shared" si="4"/>
        <v>0</v>
      </c>
      <c r="L247" s="33"/>
      <c r="M247" s="328"/>
    </row>
    <row r="248" spans="1:13" s="307" customFormat="1" ht="31.8" hidden="1" x14ac:dyDescent="0.35">
      <c r="A248" s="29"/>
      <c r="B248" s="27"/>
      <c r="C248" s="31"/>
      <c r="D248" s="34" t="s">
        <v>200</v>
      </c>
      <c r="E248" s="31" t="s">
        <v>201</v>
      </c>
      <c r="F248" s="31">
        <v>0.2</v>
      </c>
      <c r="G248" s="33">
        <v>248.96666666666667</v>
      </c>
      <c r="H248" s="33">
        <v>49.793333333333337</v>
      </c>
      <c r="I248" s="153"/>
      <c r="J248" s="153"/>
      <c r="K248" s="153">
        <f t="shared" si="4"/>
        <v>0</v>
      </c>
      <c r="L248" s="33"/>
      <c r="M248" s="328"/>
    </row>
    <row r="249" spans="1:13" s="307" customFormat="1" ht="18" hidden="1" x14ac:dyDescent="0.35">
      <c r="A249" s="29"/>
      <c r="B249" s="27"/>
      <c r="C249" s="31"/>
      <c r="D249" s="34" t="s">
        <v>194</v>
      </c>
      <c r="E249" s="31" t="s">
        <v>185</v>
      </c>
      <c r="F249" s="31">
        <v>0.2</v>
      </c>
      <c r="G249" s="33">
        <v>10270</v>
      </c>
      <c r="H249" s="33">
        <v>2054</v>
      </c>
      <c r="I249" s="153"/>
      <c r="J249" s="153"/>
      <c r="K249" s="153">
        <f t="shared" si="4"/>
        <v>0</v>
      </c>
      <c r="L249" s="33"/>
      <c r="M249" s="328"/>
    </row>
    <row r="250" spans="1:13" s="307" customFormat="1" ht="34.200000000000003" hidden="1" customHeight="1" x14ac:dyDescent="0.35">
      <c r="A250" s="29"/>
      <c r="B250" s="27"/>
      <c r="C250" s="31"/>
      <c r="D250" s="34" t="s">
        <v>195</v>
      </c>
      <c r="E250" s="31" t="s">
        <v>185</v>
      </c>
      <c r="F250" s="31">
        <v>0.1</v>
      </c>
      <c r="G250" s="33">
        <v>3100</v>
      </c>
      <c r="H250" s="33">
        <v>310</v>
      </c>
      <c r="I250" s="153"/>
      <c r="J250" s="153"/>
      <c r="K250" s="153">
        <f t="shared" si="4"/>
        <v>0</v>
      </c>
      <c r="L250" s="33"/>
      <c r="M250" s="328"/>
    </row>
    <row r="251" spans="1:13" s="307" customFormat="1" ht="32.4" hidden="1" customHeight="1" x14ac:dyDescent="0.35">
      <c r="A251" s="29"/>
      <c r="B251" s="27"/>
      <c r="C251" s="31"/>
      <c r="D251" s="34" t="s">
        <v>196</v>
      </c>
      <c r="E251" s="31" t="s">
        <v>185</v>
      </c>
      <c r="F251" s="31">
        <v>0.2</v>
      </c>
      <c r="G251" s="33">
        <v>8400</v>
      </c>
      <c r="H251" s="33">
        <v>1680</v>
      </c>
      <c r="I251" s="153"/>
      <c r="J251" s="153"/>
      <c r="K251" s="153">
        <f t="shared" si="4"/>
        <v>0</v>
      </c>
      <c r="L251" s="33"/>
      <c r="M251" s="328"/>
    </row>
    <row r="252" spans="1:13" s="307" customFormat="1" ht="18" hidden="1" x14ac:dyDescent="0.35">
      <c r="A252" s="29"/>
      <c r="B252" s="27"/>
      <c r="C252" s="31"/>
      <c r="D252" s="34" t="s">
        <v>197</v>
      </c>
      <c r="E252" s="31" t="s">
        <v>185</v>
      </c>
      <c r="F252" s="31">
        <v>0.1</v>
      </c>
      <c r="G252" s="33">
        <v>3100</v>
      </c>
      <c r="H252" s="33">
        <v>310</v>
      </c>
      <c r="I252" s="153"/>
      <c r="J252" s="153"/>
      <c r="K252" s="153">
        <f t="shared" si="4"/>
        <v>0</v>
      </c>
      <c r="L252" s="33"/>
      <c r="M252" s="328"/>
    </row>
    <row r="253" spans="1:13" s="307" customFormat="1" ht="18" hidden="1" x14ac:dyDescent="0.35">
      <c r="A253" s="29"/>
      <c r="B253" s="27"/>
      <c r="C253" s="31"/>
      <c r="D253" s="34" t="s">
        <v>203</v>
      </c>
      <c r="E253" s="31" t="s">
        <v>185</v>
      </c>
      <c r="F253" s="31">
        <v>1</v>
      </c>
      <c r="G253" s="33">
        <v>1024.7750000000001</v>
      </c>
      <c r="H253" s="33">
        <v>1024.7750000000001</v>
      </c>
      <c r="I253" s="153"/>
      <c r="J253" s="153"/>
      <c r="K253" s="153">
        <f t="shared" si="4"/>
        <v>0</v>
      </c>
      <c r="L253" s="33"/>
      <c r="M253" s="328"/>
    </row>
    <row r="254" spans="1:13" s="307" customFormat="1" ht="18" hidden="1" x14ac:dyDescent="0.35">
      <c r="A254" s="29"/>
      <c r="B254" s="27"/>
      <c r="C254" s="31"/>
      <c r="D254" s="34" t="s">
        <v>204</v>
      </c>
      <c r="E254" s="31" t="s">
        <v>185</v>
      </c>
      <c r="F254" s="31">
        <v>0.25</v>
      </c>
      <c r="G254" s="48">
        <v>2341.6666666666665</v>
      </c>
      <c r="H254" s="33">
        <v>585.41666666666663</v>
      </c>
      <c r="I254" s="153"/>
      <c r="J254" s="153"/>
      <c r="K254" s="153">
        <f t="shared" si="4"/>
        <v>0</v>
      </c>
      <c r="L254" s="33"/>
      <c r="M254" s="328"/>
    </row>
    <row r="255" spans="1:13" s="307" customFormat="1" ht="36" x14ac:dyDescent="0.35">
      <c r="A255" s="29" t="s">
        <v>134</v>
      </c>
      <c r="B255" s="30" t="s">
        <v>135</v>
      </c>
      <c r="C255" s="31" t="s">
        <v>51</v>
      </c>
      <c r="D255" s="34"/>
      <c r="E255" s="31"/>
      <c r="F255" s="31"/>
      <c r="G255" s="33"/>
      <c r="H255" s="33">
        <v>5374.7933333333331</v>
      </c>
      <c r="I255" s="153">
        <v>0.54</v>
      </c>
      <c r="J255" s="153">
        <v>5.44</v>
      </c>
      <c r="K255" s="153">
        <f t="shared" si="4"/>
        <v>5.98</v>
      </c>
      <c r="L255" s="33">
        <v>59800</v>
      </c>
      <c r="M255" s="33">
        <v>59800</v>
      </c>
    </row>
    <row r="256" spans="1:13" s="307" customFormat="1" ht="18" hidden="1" x14ac:dyDescent="0.35">
      <c r="A256" s="29"/>
      <c r="B256" s="27"/>
      <c r="C256" s="31"/>
      <c r="D256" s="34" t="s">
        <v>198</v>
      </c>
      <c r="E256" s="31" t="s">
        <v>185</v>
      </c>
      <c r="F256" s="31">
        <v>0.1</v>
      </c>
      <c r="G256" s="33">
        <v>4320</v>
      </c>
      <c r="H256" s="33">
        <f t="shared" ref="H256:H262" si="5">G256*F256</f>
        <v>432</v>
      </c>
      <c r="I256" s="33"/>
      <c r="J256" s="33"/>
      <c r="K256" s="33">
        <f t="shared" ref="K256:K267" si="6">J256+I256</f>
        <v>0</v>
      </c>
      <c r="L256" s="33"/>
    </row>
    <row r="257" spans="1:12" s="307" customFormat="1" ht="39.6" hidden="1" customHeight="1" x14ac:dyDescent="0.35">
      <c r="A257" s="29"/>
      <c r="B257" s="27"/>
      <c r="C257" s="31"/>
      <c r="D257" s="34" t="s">
        <v>199</v>
      </c>
      <c r="E257" s="31" t="s">
        <v>185</v>
      </c>
      <c r="F257" s="31">
        <v>0.2</v>
      </c>
      <c r="G257" s="33">
        <v>1320</v>
      </c>
      <c r="H257" s="33">
        <f t="shared" si="5"/>
        <v>264</v>
      </c>
      <c r="I257" s="33"/>
      <c r="J257" s="33"/>
      <c r="K257" s="33">
        <f t="shared" si="6"/>
        <v>0</v>
      </c>
      <c r="L257" s="33"/>
    </row>
    <row r="258" spans="1:12" s="307" customFormat="1" ht="31.8" hidden="1" x14ac:dyDescent="0.35">
      <c r="A258" s="29"/>
      <c r="B258" s="27"/>
      <c r="C258" s="31"/>
      <c r="D258" s="34" t="s">
        <v>200</v>
      </c>
      <c r="E258" s="31" t="s">
        <v>201</v>
      </c>
      <c r="F258" s="31">
        <v>0.2</v>
      </c>
      <c r="G258" s="33">
        <f>29876/120</f>
        <v>248.96666666666667</v>
      </c>
      <c r="H258" s="33">
        <f t="shared" si="5"/>
        <v>49.793333333333337</v>
      </c>
      <c r="I258" s="33"/>
      <c r="J258" s="33"/>
      <c r="K258" s="33">
        <f t="shared" si="6"/>
        <v>0</v>
      </c>
      <c r="L258" s="33"/>
    </row>
    <row r="259" spans="1:12" s="307" customFormat="1" ht="18" hidden="1" x14ac:dyDescent="0.35">
      <c r="A259" s="29"/>
      <c r="B259" s="27"/>
      <c r="C259" s="31"/>
      <c r="D259" s="34" t="s">
        <v>194</v>
      </c>
      <c r="E259" s="31" t="s">
        <v>185</v>
      </c>
      <c r="F259" s="31">
        <v>0.2</v>
      </c>
      <c r="G259" s="33">
        <v>10270</v>
      </c>
      <c r="H259" s="33">
        <f t="shared" si="5"/>
        <v>2054</v>
      </c>
      <c r="I259" s="33"/>
      <c r="J259" s="33"/>
      <c r="K259" s="33">
        <f t="shared" si="6"/>
        <v>0</v>
      </c>
      <c r="L259" s="33"/>
    </row>
    <row r="260" spans="1:12" s="307" customFormat="1" ht="31.8" hidden="1" x14ac:dyDescent="0.35">
      <c r="A260" s="29"/>
      <c r="B260" s="27"/>
      <c r="C260" s="31"/>
      <c r="D260" s="34" t="s">
        <v>195</v>
      </c>
      <c r="E260" s="31" t="s">
        <v>185</v>
      </c>
      <c r="F260" s="31">
        <v>0.1</v>
      </c>
      <c r="G260" s="33">
        <v>3100</v>
      </c>
      <c r="H260" s="33">
        <f t="shared" si="5"/>
        <v>310</v>
      </c>
      <c r="I260" s="33"/>
      <c r="J260" s="33"/>
      <c r="K260" s="33">
        <f t="shared" si="6"/>
        <v>0</v>
      </c>
      <c r="L260" s="33"/>
    </row>
    <row r="261" spans="1:12" s="307" customFormat="1" ht="31.8" hidden="1" x14ac:dyDescent="0.35">
      <c r="A261" s="29"/>
      <c r="B261" s="27"/>
      <c r="C261" s="31"/>
      <c r="D261" s="34" t="s">
        <v>196</v>
      </c>
      <c r="E261" s="31" t="s">
        <v>185</v>
      </c>
      <c r="F261" s="31">
        <v>0.2</v>
      </c>
      <c r="G261" s="33">
        <v>8400</v>
      </c>
      <c r="H261" s="33">
        <f t="shared" si="5"/>
        <v>1680</v>
      </c>
      <c r="I261" s="33"/>
      <c r="J261" s="33"/>
      <c r="K261" s="33">
        <f t="shared" si="6"/>
        <v>0</v>
      </c>
      <c r="L261" s="33"/>
    </row>
    <row r="262" spans="1:12" s="307" customFormat="1" ht="18" hidden="1" x14ac:dyDescent="0.35">
      <c r="A262" s="29"/>
      <c r="B262" s="27"/>
      <c r="C262" s="31"/>
      <c r="D262" s="34" t="s">
        <v>295</v>
      </c>
      <c r="E262" s="31" t="s">
        <v>185</v>
      </c>
      <c r="F262" s="31">
        <v>0.1</v>
      </c>
      <c r="G262" s="33">
        <v>5850</v>
      </c>
      <c r="H262" s="33">
        <f t="shared" si="5"/>
        <v>585</v>
      </c>
      <c r="I262" s="33"/>
      <c r="J262" s="33"/>
      <c r="K262" s="33">
        <f t="shared" si="6"/>
        <v>0</v>
      </c>
      <c r="L262" s="33"/>
    </row>
    <row r="263" spans="1:12" s="307" customFormat="1" ht="36" hidden="1" x14ac:dyDescent="0.35">
      <c r="A263" s="40" t="s">
        <v>296</v>
      </c>
      <c r="B263" s="41" t="s">
        <v>297</v>
      </c>
      <c r="C263" s="53" t="s">
        <v>298</v>
      </c>
      <c r="D263" s="54" t="s">
        <v>299</v>
      </c>
      <c r="E263" s="42"/>
      <c r="F263" s="42"/>
      <c r="G263" s="44"/>
      <c r="H263" s="44">
        <f>H264</f>
        <v>716</v>
      </c>
      <c r="I263" s="44">
        <v>700</v>
      </c>
      <c r="J263" s="44">
        <f>[4]Лист2!S78</f>
        <v>54400</v>
      </c>
      <c r="K263" s="44">
        <f t="shared" si="6"/>
        <v>55100</v>
      </c>
      <c r="L263" s="44">
        <v>4550</v>
      </c>
    </row>
    <row r="264" spans="1:12" s="307" customFormat="1" ht="20.399999999999999" hidden="1" customHeight="1" x14ac:dyDescent="0.35">
      <c r="A264" s="40"/>
      <c r="B264" s="45"/>
      <c r="C264" s="42"/>
      <c r="D264" s="43" t="s">
        <v>300</v>
      </c>
      <c r="E264" s="42" t="s">
        <v>192</v>
      </c>
      <c r="F264" s="42">
        <v>2</v>
      </c>
      <c r="G264" s="44">
        <v>358</v>
      </c>
      <c r="H264" s="44">
        <f>G264*F264</f>
        <v>716</v>
      </c>
      <c r="I264" s="44"/>
      <c r="J264" s="44"/>
      <c r="K264" s="44">
        <f t="shared" si="6"/>
        <v>0</v>
      </c>
      <c r="L264" s="44"/>
    </row>
    <row r="265" spans="1:12" s="307" customFormat="1" ht="35.4" hidden="1" x14ac:dyDescent="0.35">
      <c r="A265" s="40"/>
      <c r="B265" s="45"/>
      <c r="C265" s="53" t="s">
        <v>301</v>
      </c>
      <c r="D265" s="54" t="s">
        <v>302</v>
      </c>
      <c r="E265" s="42"/>
      <c r="F265" s="42"/>
      <c r="G265" s="44"/>
      <c r="H265" s="44">
        <f>H266</f>
        <v>152</v>
      </c>
      <c r="I265" s="44">
        <v>150</v>
      </c>
      <c r="J265" s="44">
        <f>J263</f>
        <v>54400</v>
      </c>
      <c r="K265" s="44">
        <f t="shared" si="6"/>
        <v>54550</v>
      </c>
      <c r="L265" s="44">
        <v>3980</v>
      </c>
    </row>
    <row r="266" spans="1:12" s="307" customFormat="1" ht="18" hidden="1" x14ac:dyDescent="0.35">
      <c r="A266" s="40"/>
      <c r="B266" s="45"/>
      <c r="C266" s="42"/>
      <c r="D266" s="43" t="s">
        <v>300</v>
      </c>
      <c r="E266" s="42" t="s">
        <v>192</v>
      </c>
      <c r="F266" s="42">
        <v>2</v>
      </c>
      <c r="G266" s="44">
        <v>76</v>
      </c>
      <c r="H266" s="44">
        <f>G266*F266</f>
        <v>152</v>
      </c>
      <c r="I266" s="44"/>
      <c r="J266" s="44"/>
      <c r="K266" s="44">
        <f t="shared" si="6"/>
        <v>0</v>
      </c>
      <c r="L266" s="44"/>
    </row>
    <row r="267" spans="1:12" s="307" customFormat="1" ht="36" hidden="1" x14ac:dyDescent="0.35">
      <c r="A267" s="40" t="s">
        <v>303</v>
      </c>
      <c r="B267" s="41" t="s">
        <v>304</v>
      </c>
      <c r="C267" s="53" t="s">
        <v>298</v>
      </c>
      <c r="D267" s="54" t="s">
        <v>299</v>
      </c>
      <c r="E267" s="42" t="s">
        <v>192</v>
      </c>
      <c r="F267" s="42">
        <v>2</v>
      </c>
      <c r="G267" s="44">
        <v>358</v>
      </c>
      <c r="H267" s="44">
        <f>H268</f>
        <v>716</v>
      </c>
      <c r="I267" s="44">
        <v>700</v>
      </c>
      <c r="J267" s="44">
        <f>[4]Лист2!S79</f>
        <v>81600</v>
      </c>
      <c r="K267" s="44">
        <f t="shared" si="6"/>
        <v>82300</v>
      </c>
      <c r="L267" s="44">
        <v>2630</v>
      </c>
    </row>
    <row r="268" spans="1:12" s="55" customFormat="1" ht="15.75" hidden="1" customHeight="1" x14ac:dyDescent="0.35">
      <c r="A268" s="40"/>
      <c r="B268" s="41"/>
      <c r="C268" s="42"/>
      <c r="D268" s="43" t="s">
        <v>305</v>
      </c>
      <c r="E268" s="42" t="s">
        <v>192</v>
      </c>
      <c r="F268" s="42">
        <v>2</v>
      </c>
      <c r="G268" s="44">
        <v>358</v>
      </c>
      <c r="H268" s="44">
        <f>G268*F268</f>
        <v>716</v>
      </c>
      <c r="I268" s="44"/>
      <c r="J268" s="44"/>
      <c r="K268" s="44"/>
      <c r="L268" s="44"/>
    </row>
    <row r="269" spans="1:12" s="55" customFormat="1" ht="35.4" hidden="1" x14ac:dyDescent="0.35">
      <c r="A269" s="40"/>
      <c r="B269" s="45"/>
      <c r="C269" s="53" t="s">
        <v>301</v>
      </c>
      <c r="D269" s="54" t="s">
        <v>302</v>
      </c>
      <c r="E269" s="42"/>
      <c r="F269" s="42"/>
      <c r="G269" s="44"/>
      <c r="H269" s="44">
        <f>H270</f>
        <v>152</v>
      </c>
      <c r="I269" s="44"/>
      <c r="J269" s="44">
        <v>2310</v>
      </c>
      <c r="K269" s="44">
        <f>J269+H269</f>
        <v>2462</v>
      </c>
      <c r="L269" s="44">
        <v>2460</v>
      </c>
    </row>
    <row r="270" spans="1:12" s="55" customFormat="1" ht="91.5" hidden="1" customHeight="1" x14ac:dyDescent="0.35">
      <c r="A270" s="40"/>
      <c r="B270" s="45"/>
      <c r="C270" s="42"/>
      <c r="D270" s="43" t="s">
        <v>305</v>
      </c>
      <c r="E270" s="42" t="s">
        <v>192</v>
      </c>
      <c r="F270" s="42">
        <v>2</v>
      </c>
      <c r="G270" s="44">
        <v>76</v>
      </c>
      <c r="H270" s="44">
        <f>G270*F270</f>
        <v>152</v>
      </c>
      <c r="I270" s="44"/>
      <c r="J270" s="44"/>
      <c r="K270" s="44"/>
      <c r="L270" s="44"/>
    </row>
    <row r="271" spans="1:12" ht="18" hidden="1" customHeight="1" x14ac:dyDescent="0.25">
      <c r="A271" s="40">
        <v>3</v>
      </c>
      <c r="B271" s="435" t="s">
        <v>306</v>
      </c>
      <c r="C271" s="436"/>
      <c r="D271" s="436"/>
      <c r="E271" s="436"/>
      <c r="F271" s="436"/>
      <c r="G271" s="436"/>
      <c r="H271" s="436"/>
      <c r="I271" s="436"/>
      <c r="J271" s="436"/>
      <c r="K271" s="436"/>
      <c r="L271" s="437"/>
    </row>
    <row r="272" spans="1:12" ht="52.5" hidden="1" customHeight="1" x14ac:dyDescent="0.35">
      <c r="A272" s="40" t="s">
        <v>307</v>
      </c>
      <c r="B272" s="41" t="s">
        <v>308</v>
      </c>
      <c r="C272" s="45" t="s">
        <v>309</v>
      </c>
      <c r="D272" s="50"/>
      <c r="E272" s="45"/>
      <c r="F272" s="42"/>
      <c r="G272" s="42"/>
      <c r="H272" s="68">
        <f>H273+H274</f>
        <v>0</v>
      </c>
      <c r="I272" s="68"/>
      <c r="J272" s="51">
        <v>1000</v>
      </c>
      <c r="K272" s="69">
        <f>J272+H272</f>
        <v>1000</v>
      </c>
      <c r="L272" s="44">
        <v>1090</v>
      </c>
    </row>
    <row r="273" spans="1:14" ht="32.25" hidden="1" customHeight="1" x14ac:dyDescent="0.35">
      <c r="A273" s="70"/>
      <c r="B273" s="71"/>
      <c r="C273" s="72"/>
      <c r="D273" s="50" t="s">
        <v>310</v>
      </c>
      <c r="E273" s="72" t="s">
        <v>201</v>
      </c>
      <c r="F273" s="73">
        <v>1</v>
      </c>
      <c r="G273" s="73">
        <v>0</v>
      </c>
      <c r="H273" s="74">
        <f>G273*F273</f>
        <v>0</v>
      </c>
      <c r="I273" s="74"/>
      <c r="J273" s="75"/>
      <c r="K273" s="75"/>
      <c r="L273" s="76"/>
    </row>
    <row r="274" spans="1:14" ht="16.5" hidden="1" customHeight="1" x14ac:dyDescent="0.35">
      <c r="A274" s="70"/>
      <c r="B274" s="71"/>
      <c r="C274" s="72"/>
      <c r="D274" s="50" t="s">
        <v>311</v>
      </c>
      <c r="E274" s="72" t="s">
        <v>185</v>
      </c>
      <c r="F274" s="73">
        <v>1</v>
      </c>
      <c r="G274" s="73">
        <v>0</v>
      </c>
      <c r="H274" s="74">
        <f>G274*F274</f>
        <v>0</v>
      </c>
      <c r="I274" s="74"/>
      <c r="J274" s="75"/>
      <c r="K274" s="75"/>
      <c r="L274" s="76"/>
    </row>
    <row r="275" spans="1:14" ht="18" hidden="1" x14ac:dyDescent="0.35">
      <c r="A275" s="77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</row>
    <row r="277" spans="1:14" s="20" customFormat="1" ht="18" hidden="1" x14ac:dyDescent="0.35">
      <c r="A277" s="79"/>
      <c r="B277" s="271" t="s">
        <v>409</v>
      </c>
      <c r="I277" s="80"/>
      <c r="J277" s="271" t="s">
        <v>410</v>
      </c>
      <c r="M277" s="21"/>
      <c r="N277" s="21"/>
    </row>
  </sheetData>
  <mergeCells count="24">
    <mergeCell ref="G7:K7"/>
    <mergeCell ref="A10:L10"/>
    <mergeCell ref="A11:L11"/>
    <mergeCell ref="A12:L12"/>
    <mergeCell ref="A13:L13"/>
    <mergeCell ref="A112:A115"/>
    <mergeCell ref="B112:B115"/>
    <mergeCell ref="F16:F17"/>
    <mergeCell ref="G16:G17"/>
    <mergeCell ref="H16:H17"/>
    <mergeCell ref="A16:A17"/>
    <mergeCell ref="B16:B17"/>
    <mergeCell ref="C16:C17"/>
    <mergeCell ref="D16:D17"/>
    <mergeCell ref="E16:E17"/>
    <mergeCell ref="B120:M120"/>
    <mergeCell ref="B271:L271"/>
    <mergeCell ref="L16:L17"/>
    <mergeCell ref="M16:M17"/>
    <mergeCell ref="B19:M19"/>
    <mergeCell ref="B71:M71"/>
    <mergeCell ref="I16:I17"/>
    <mergeCell ref="J16:J17"/>
    <mergeCell ref="K16:K17"/>
  </mergeCells>
  <pageMargins left="0.23622047244094491" right="0.31496062992125984" top="0.27559055118110237" bottom="0.11811023622047245" header="0.15748031496062992" footer="0.31496062992125984"/>
  <pageSetup paperSize="9" scale="75" fitToHeight="0" orientation="portrait" r:id="rId1"/>
  <headerFooter alignWithMargins="0"/>
  <rowBreaks count="1" manualBreakCount="1">
    <brk id="98" max="12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workbookViewId="0">
      <selection activeCell="I13" sqref="I13"/>
    </sheetView>
  </sheetViews>
  <sheetFormatPr defaultRowHeight="14.4" x14ac:dyDescent="0.3"/>
  <cols>
    <col min="1" max="1" width="4.33203125" customWidth="1"/>
    <col min="2" max="2" width="28.33203125" customWidth="1"/>
    <col min="3" max="3" width="16.44140625" customWidth="1"/>
    <col min="4" max="4" width="10.88671875" customWidth="1"/>
    <col min="5" max="5" width="10.5546875" customWidth="1"/>
    <col min="6" max="6" width="10" customWidth="1"/>
    <col min="7" max="7" width="12.33203125" customWidth="1"/>
  </cols>
  <sheetData>
    <row r="1" spans="1:12" ht="20.399999999999999" x14ac:dyDescent="0.35">
      <c r="A1" s="460" t="s">
        <v>0</v>
      </c>
      <c r="B1" s="460"/>
      <c r="C1" s="460"/>
      <c r="D1" s="357"/>
      <c r="E1" s="357"/>
      <c r="F1" s="357"/>
      <c r="G1" s="357"/>
    </row>
    <row r="2" spans="1:12" ht="38.4" customHeight="1" x14ac:dyDescent="0.3">
      <c r="A2" s="461" t="s">
        <v>137</v>
      </c>
      <c r="B2" s="461"/>
      <c r="C2" s="461"/>
      <c r="D2" s="358"/>
      <c r="E2" s="358"/>
      <c r="F2" s="358"/>
      <c r="G2" s="358"/>
    </row>
    <row r="3" spans="1:12" ht="38.4" customHeight="1" x14ac:dyDescent="0.3">
      <c r="A3" s="231"/>
      <c r="B3" s="231"/>
      <c r="C3" s="231"/>
      <c r="D3" s="230"/>
      <c r="E3" s="230"/>
      <c r="F3" s="230"/>
      <c r="G3" s="89" t="s">
        <v>404</v>
      </c>
    </row>
    <row r="4" spans="1:12" ht="15.6" customHeight="1" x14ac:dyDescent="0.3">
      <c r="A4" s="462" t="s">
        <v>1</v>
      </c>
      <c r="B4" s="462" t="s">
        <v>2</v>
      </c>
      <c r="C4" s="462" t="s">
        <v>3</v>
      </c>
      <c r="D4" s="462" t="s">
        <v>138</v>
      </c>
      <c r="E4" s="462"/>
      <c r="F4" s="462"/>
      <c r="G4" s="462"/>
    </row>
    <row r="5" spans="1:12" ht="52.8" x14ac:dyDescent="0.3">
      <c r="A5" s="463"/>
      <c r="B5" s="462"/>
      <c r="C5" s="462"/>
      <c r="D5" s="7" t="s">
        <v>139</v>
      </c>
      <c r="E5" s="7" t="s">
        <v>140</v>
      </c>
      <c r="F5" s="8" t="s">
        <v>141</v>
      </c>
      <c r="G5" s="8" t="s">
        <v>350</v>
      </c>
    </row>
    <row r="6" spans="1:12" x14ac:dyDescent="0.3">
      <c r="A6" s="9">
        <v>1</v>
      </c>
      <c r="B6" s="10">
        <v>2</v>
      </c>
      <c r="C6" s="10">
        <v>3</v>
      </c>
      <c r="D6" s="11">
        <v>4</v>
      </c>
      <c r="E6" s="11">
        <v>5</v>
      </c>
      <c r="F6" s="10">
        <v>6</v>
      </c>
      <c r="G6" s="10">
        <v>7</v>
      </c>
    </row>
    <row r="7" spans="1:12" ht="15.6" x14ac:dyDescent="0.3">
      <c r="A7" s="15">
        <v>1</v>
      </c>
      <c r="B7" s="150" t="s">
        <v>142</v>
      </c>
      <c r="C7" s="151" t="s">
        <v>143</v>
      </c>
      <c r="D7" s="151">
        <v>13.33</v>
      </c>
      <c r="E7" s="151">
        <f>D7/100*20</f>
        <v>2.6659999999999999</v>
      </c>
      <c r="F7" s="151">
        <f>D7+E7</f>
        <v>15.996</v>
      </c>
      <c r="G7" s="152">
        <v>160000</v>
      </c>
      <c r="L7" s="4"/>
    </row>
    <row r="8" spans="1:12" ht="15.6" x14ac:dyDescent="0.3">
      <c r="A8" s="15">
        <v>2</v>
      </c>
      <c r="B8" s="150" t="s">
        <v>144</v>
      </c>
      <c r="C8" s="151" t="s">
        <v>145</v>
      </c>
      <c r="D8" s="151">
        <v>3.75</v>
      </c>
      <c r="E8" s="151">
        <f t="shared" ref="E8:E16" si="0">D8/100*20</f>
        <v>0.75</v>
      </c>
      <c r="F8" s="151">
        <f t="shared" ref="F8:F16" si="1">D8+E8</f>
        <v>4.5</v>
      </c>
      <c r="G8" s="152">
        <v>45000</v>
      </c>
      <c r="L8" s="4"/>
    </row>
    <row r="9" spans="1:12" ht="15.6" x14ac:dyDescent="0.3">
      <c r="A9" s="15">
        <v>3</v>
      </c>
      <c r="B9" s="150" t="s">
        <v>146</v>
      </c>
      <c r="C9" s="151" t="s">
        <v>147</v>
      </c>
      <c r="D9" s="151">
        <v>4.58</v>
      </c>
      <c r="E9" s="151">
        <f t="shared" si="0"/>
        <v>0.91600000000000004</v>
      </c>
      <c r="F9" s="151">
        <f t="shared" si="1"/>
        <v>5.4960000000000004</v>
      </c>
      <c r="G9" s="152">
        <v>55000</v>
      </c>
      <c r="L9" s="4"/>
    </row>
    <row r="10" spans="1:12" ht="15.6" x14ac:dyDescent="0.3">
      <c r="A10" s="15">
        <v>4</v>
      </c>
      <c r="B10" s="150" t="s">
        <v>148</v>
      </c>
      <c r="C10" s="151" t="s">
        <v>147</v>
      </c>
      <c r="D10" s="151">
        <v>3.33</v>
      </c>
      <c r="E10" s="151">
        <f t="shared" si="0"/>
        <v>0.66600000000000004</v>
      </c>
      <c r="F10" s="151">
        <f t="shared" si="1"/>
        <v>3.996</v>
      </c>
      <c r="G10" s="152">
        <v>40000</v>
      </c>
      <c r="L10" s="4"/>
    </row>
    <row r="11" spans="1:12" ht="31.2" x14ac:dyDescent="0.3">
      <c r="A11" s="15">
        <v>5</v>
      </c>
      <c r="B11" s="150" t="s">
        <v>149</v>
      </c>
      <c r="C11" s="151" t="s">
        <v>143</v>
      </c>
      <c r="D11" s="151">
        <v>8.33</v>
      </c>
      <c r="E11" s="151">
        <f t="shared" si="0"/>
        <v>1.6659999999999999</v>
      </c>
      <c r="F11" s="151">
        <f t="shared" si="1"/>
        <v>9.9960000000000004</v>
      </c>
      <c r="G11" s="152">
        <v>100000</v>
      </c>
      <c r="L11" s="4"/>
    </row>
    <row r="12" spans="1:12" ht="31.2" x14ac:dyDescent="0.3">
      <c r="A12" s="15">
        <v>6</v>
      </c>
      <c r="B12" s="150" t="s">
        <v>150</v>
      </c>
      <c r="C12" s="151" t="s">
        <v>143</v>
      </c>
      <c r="D12" s="151">
        <v>5</v>
      </c>
      <c r="E12" s="151">
        <f t="shared" si="0"/>
        <v>1</v>
      </c>
      <c r="F12" s="151">
        <f t="shared" si="1"/>
        <v>6</v>
      </c>
      <c r="G12" s="152">
        <v>60000</v>
      </c>
      <c r="L12" s="4"/>
    </row>
    <row r="13" spans="1:12" ht="35.25" customHeight="1" x14ac:dyDescent="0.3">
      <c r="A13" s="15">
        <v>7</v>
      </c>
      <c r="B13" s="150" t="s">
        <v>151</v>
      </c>
      <c r="C13" s="151" t="s">
        <v>152</v>
      </c>
      <c r="D13" s="151">
        <v>50</v>
      </c>
      <c r="E13" s="151">
        <f t="shared" si="0"/>
        <v>10</v>
      </c>
      <c r="F13" s="151">
        <f t="shared" si="1"/>
        <v>60</v>
      </c>
      <c r="G13" s="152">
        <v>600000</v>
      </c>
      <c r="I13" s="3"/>
      <c r="L13" s="4"/>
    </row>
    <row r="14" spans="1:12" ht="63" customHeight="1" x14ac:dyDescent="0.3">
      <c r="A14" s="15">
        <v>8</v>
      </c>
      <c r="B14" s="150" t="s">
        <v>153</v>
      </c>
      <c r="C14" s="151" t="s">
        <v>143</v>
      </c>
      <c r="D14" s="151">
        <v>25</v>
      </c>
      <c r="E14" s="151">
        <f t="shared" si="0"/>
        <v>5</v>
      </c>
      <c r="F14" s="151">
        <f t="shared" si="1"/>
        <v>30</v>
      </c>
      <c r="G14" s="152">
        <v>300000</v>
      </c>
      <c r="I14" s="3"/>
      <c r="L14" s="4"/>
    </row>
    <row r="15" spans="1:12" ht="44.25" customHeight="1" x14ac:dyDescent="0.3">
      <c r="A15" s="15">
        <v>9</v>
      </c>
      <c r="B15" s="150" t="s">
        <v>154</v>
      </c>
      <c r="C15" s="151" t="s">
        <v>155</v>
      </c>
      <c r="D15" s="151">
        <v>10</v>
      </c>
      <c r="E15" s="151">
        <f t="shared" si="0"/>
        <v>2</v>
      </c>
      <c r="F15" s="151">
        <f t="shared" si="1"/>
        <v>12</v>
      </c>
      <c r="G15" s="152">
        <v>120000</v>
      </c>
      <c r="L15" s="4"/>
    </row>
    <row r="16" spans="1:12" ht="15.6" x14ac:dyDescent="0.3">
      <c r="A16" s="144">
        <v>10</v>
      </c>
      <c r="B16" s="2" t="s">
        <v>347</v>
      </c>
      <c r="C16" s="151" t="s">
        <v>143</v>
      </c>
      <c r="D16" s="151">
        <v>2.5</v>
      </c>
      <c r="E16" s="151">
        <f t="shared" si="0"/>
        <v>0.5</v>
      </c>
      <c r="F16" s="151">
        <f t="shared" si="1"/>
        <v>3</v>
      </c>
      <c r="G16" s="1">
        <v>30000</v>
      </c>
    </row>
    <row r="19" spans="2:7" ht="18.75" customHeight="1" x14ac:dyDescent="0.3">
      <c r="B19" s="12"/>
      <c r="C19" s="12"/>
      <c r="D19" s="12"/>
      <c r="E19" s="12"/>
      <c r="F19" s="12"/>
      <c r="G19" s="13"/>
    </row>
    <row r="20" spans="2:7" ht="15.6" customHeight="1" x14ac:dyDescent="0.3">
      <c r="B20" s="12"/>
      <c r="C20" s="12"/>
      <c r="D20" s="12"/>
      <c r="E20" s="12"/>
      <c r="F20" s="12"/>
      <c r="G20" s="13"/>
    </row>
    <row r="21" spans="2:7" ht="15.6" x14ac:dyDescent="0.3">
      <c r="B21" s="458"/>
      <c r="C21" s="459"/>
      <c r="D21" s="12"/>
      <c r="E21" s="12"/>
      <c r="F21" s="12"/>
      <c r="G21" s="13"/>
    </row>
    <row r="22" spans="2:7" ht="15.6" x14ac:dyDescent="0.3">
      <c r="B22" s="14"/>
      <c r="C22" s="14"/>
      <c r="D22" s="14"/>
      <c r="E22" s="14"/>
      <c r="F22" s="14"/>
      <c r="G22" s="13"/>
    </row>
    <row r="23" spans="2:7" ht="15.6" x14ac:dyDescent="0.3">
      <c r="B23" s="12"/>
      <c r="C23" s="14"/>
      <c r="D23" s="14"/>
      <c r="E23" s="14"/>
      <c r="F23" s="14"/>
      <c r="G23" s="13"/>
    </row>
    <row r="24" spans="2:7" ht="15.6" x14ac:dyDescent="0.3">
      <c r="B24" s="12"/>
      <c r="C24" s="14"/>
      <c r="D24" s="14"/>
      <c r="E24" s="14"/>
      <c r="F24" s="14"/>
      <c r="G24" s="13"/>
    </row>
    <row r="25" spans="2:7" ht="15.6" x14ac:dyDescent="0.3">
      <c r="B25" s="12"/>
      <c r="C25" s="14"/>
      <c r="D25" s="14"/>
      <c r="E25" s="14"/>
      <c r="F25" s="14"/>
      <c r="G25" s="13"/>
    </row>
    <row r="26" spans="2:7" x14ac:dyDescent="0.3">
      <c r="B26" s="14"/>
      <c r="C26" s="14"/>
      <c r="D26" s="14"/>
      <c r="E26" s="14"/>
      <c r="F26" s="14"/>
      <c r="G26" s="14"/>
    </row>
  </sheetData>
  <mergeCells count="7">
    <mergeCell ref="B21:C21"/>
    <mergeCell ref="A1:G1"/>
    <mergeCell ref="A2:G2"/>
    <mergeCell ref="A4:A5"/>
    <mergeCell ref="B4:B5"/>
    <mergeCell ref="C4:C5"/>
    <mergeCell ref="D4:G4"/>
  </mergeCells>
  <pageMargins left="0.7" right="0.7" top="0.75" bottom="0.75" header="0.3" footer="0.3"/>
  <pageSetup paperSize="9" scale="94" orientation="portrait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8"/>
  <sheetViews>
    <sheetView view="pageBreakPreview" zoomScaleNormal="100" workbookViewId="0">
      <selection activeCell="F6" sqref="F6:G6"/>
    </sheetView>
  </sheetViews>
  <sheetFormatPr defaultRowHeight="14.4" x14ac:dyDescent="0.3"/>
  <cols>
    <col min="1" max="1" width="4.33203125" customWidth="1"/>
    <col min="2" max="2" width="28.33203125" customWidth="1"/>
    <col min="3" max="3" width="16.44140625" customWidth="1"/>
    <col min="4" max="4" width="10.88671875" customWidth="1"/>
    <col min="5" max="5" width="10.5546875" customWidth="1"/>
    <col min="6" max="6" width="10" customWidth="1"/>
    <col min="7" max="7" width="13.6640625" customWidth="1"/>
  </cols>
  <sheetData>
    <row r="1" spans="1:12" ht="20.399999999999999" x14ac:dyDescent="0.35">
      <c r="A1" s="460" t="s">
        <v>0</v>
      </c>
      <c r="B1" s="460"/>
      <c r="C1" s="460"/>
      <c r="D1" s="357"/>
      <c r="E1" s="357"/>
      <c r="F1" s="357"/>
      <c r="G1" s="357"/>
    </row>
    <row r="2" spans="1:12" ht="17.399999999999999" x14ac:dyDescent="0.3">
      <c r="A2" s="461" t="s">
        <v>156</v>
      </c>
      <c r="B2" s="461"/>
      <c r="C2" s="461"/>
      <c r="D2" s="358"/>
      <c r="E2" s="358"/>
      <c r="F2" s="358"/>
      <c r="G2" s="358"/>
    </row>
    <row r="3" spans="1:12" ht="17.399999999999999" x14ac:dyDescent="0.3">
      <c r="A3" s="464" t="s">
        <v>157</v>
      </c>
      <c r="B3" s="464"/>
      <c r="C3" s="464"/>
      <c r="D3" s="464"/>
      <c r="E3" s="464"/>
      <c r="F3" s="464"/>
      <c r="G3" s="464"/>
    </row>
    <row r="4" spans="1:12" ht="17.399999999999999" x14ac:dyDescent="0.3">
      <c r="A4" s="149"/>
      <c r="B4" s="149"/>
      <c r="C4" s="149"/>
      <c r="D4" s="149"/>
      <c r="E4" s="149"/>
      <c r="F4" s="149"/>
      <c r="G4" s="89" t="s">
        <v>349</v>
      </c>
    </row>
    <row r="5" spans="1:12" ht="15.6" customHeight="1" x14ac:dyDescent="0.3">
      <c r="A5" s="462" t="s">
        <v>1</v>
      </c>
      <c r="B5" s="462" t="s">
        <v>2</v>
      </c>
      <c r="C5" s="462" t="s">
        <v>3</v>
      </c>
      <c r="D5" s="462" t="s">
        <v>138</v>
      </c>
      <c r="E5" s="462"/>
      <c r="F5" s="462"/>
      <c r="G5" s="462"/>
    </row>
    <row r="6" spans="1:12" ht="39.75" customHeight="1" x14ac:dyDescent="0.3">
      <c r="A6" s="463"/>
      <c r="B6" s="462"/>
      <c r="C6" s="462"/>
      <c r="D6" s="7" t="s">
        <v>139</v>
      </c>
      <c r="E6" s="7" t="s">
        <v>140</v>
      </c>
      <c r="F6" s="8" t="s">
        <v>141</v>
      </c>
      <c r="G6" s="8" t="s">
        <v>350</v>
      </c>
    </row>
    <row r="7" spans="1:12" x14ac:dyDescent="0.3">
      <c r="A7" s="9">
        <v>1</v>
      </c>
      <c r="B7" s="10">
        <v>2</v>
      </c>
      <c r="C7" s="10">
        <v>3</v>
      </c>
      <c r="D7" s="11">
        <v>4</v>
      </c>
      <c r="E7" s="11">
        <v>5</v>
      </c>
      <c r="F7" s="10">
        <v>6</v>
      </c>
      <c r="G7" s="10">
        <v>7</v>
      </c>
    </row>
    <row r="8" spans="1:12" ht="15.6" x14ac:dyDescent="0.3">
      <c r="A8" s="15">
        <v>1</v>
      </c>
      <c r="B8" s="150" t="s">
        <v>142</v>
      </c>
      <c r="C8" s="151" t="s">
        <v>143</v>
      </c>
      <c r="D8" s="151">
        <v>16.670000000000002</v>
      </c>
      <c r="E8" s="151">
        <f>D8/100*20</f>
        <v>3.3340000000000005</v>
      </c>
      <c r="F8" s="151">
        <f>D8+E8</f>
        <v>20.004000000000001</v>
      </c>
      <c r="G8" s="152">
        <v>200000</v>
      </c>
      <c r="L8" s="4"/>
    </row>
    <row r="9" spans="1:12" ht="20.25" customHeight="1" x14ac:dyDescent="0.3">
      <c r="A9" s="15">
        <v>2</v>
      </c>
      <c r="B9" s="150" t="s">
        <v>144</v>
      </c>
      <c r="C9" s="151" t="s">
        <v>351</v>
      </c>
      <c r="D9" s="151">
        <v>8.33</v>
      </c>
      <c r="E9" s="151">
        <f t="shared" ref="E9:E17" si="0">D9/100*20</f>
        <v>1.6659999999999999</v>
      </c>
      <c r="F9" s="151">
        <f t="shared" ref="F9:F17" si="1">D9+E9</f>
        <v>9.9960000000000004</v>
      </c>
      <c r="G9" s="152">
        <v>100000</v>
      </c>
      <c r="L9" s="4"/>
    </row>
    <row r="10" spans="1:12" ht="22.5" customHeight="1" x14ac:dyDescent="0.3">
      <c r="A10" s="15">
        <v>3</v>
      </c>
      <c r="B10" s="150" t="s">
        <v>146</v>
      </c>
      <c r="C10" s="151" t="s">
        <v>147</v>
      </c>
      <c r="D10" s="151">
        <v>8.33</v>
      </c>
      <c r="E10" s="151">
        <f t="shared" si="0"/>
        <v>1.6659999999999999</v>
      </c>
      <c r="F10" s="151">
        <f t="shared" si="1"/>
        <v>9.9960000000000004</v>
      </c>
      <c r="G10" s="152">
        <v>100000</v>
      </c>
      <c r="L10" s="4"/>
    </row>
    <row r="11" spans="1:12" ht="18" customHeight="1" x14ac:dyDescent="0.3">
      <c r="A11" s="15">
        <v>4</v>
      </c>
      <c r="B11" s="150" t="s">
        <v>148</v>
      </c>
      <c r="C11" s="151" t="s">
        <v>147</v>
      </c>
      <c r="D11" s="151">
        <v>6.25</v>
      </c>
      <c r="E11" s="151">
        <f t="shared" si="0"/>
        <v>1.25</v>
      </c>
      <c r="F11" s="151">
        <f t="shared" si="1"/>
        <v>7.5</v>
      </c>
      <c r="G11" s="152">
        <v>75000</v>
      </c>
      <c r="L11" s="4"/>
    </row>
    <row r="12" spans="1:12" ht="31.2" x14ac:dyDescent="0.3">
      <c r="A12" s="15">
        <v>5</v>
      </c>
      <c r="B12" s="150" t="s">
        <v>149</v>
      </c>
      <c r="C12" s="151" t="s">
        <v>143</v>
      </c>
      <c r="D12" s="151">
        <v>12.5</v>
      </c>
      <c r="E12" s="151">
        <f t="shared" si="0"/>
        <v>2.5</v>
      </c>
      <c r="F12" s="151">
        <f t="shared" si="1"/>
        <v>15</v>
      </c>
      <c r="G12" s="152">
        <v>150000</v>
      </c>
      <c r="L12" s="4"/>
    </row>
    <row r="13" spans="1:12" ht="31.2" x14ac:dyDescent="0.3">
      <c r="A13" s="15">
        <v>6</v>
      </c>
      <c r="B13" s="150" t="s">
        <v>150</v>
      </c>
      <c r="C13" s="151" t="s">
        <v>143</v>
      </c>
      <c r="D13" s="151">
        <v>8.33</v>
      </c>
      <c r="E13" s="151">
        <f t="shared" si="0"/>
        <v>1.6659999999999999</v>
      </c>
      <c r="F13" s="151">
        <f t="shared" si="1"/>
        <v>9.9960000000000004</v>
      </c>
      <c r="G13" s="152">
        <v>100000</v>
      </c>
      <c r="L13" s="4"/>
    </row>
    <row r="14" spans="1:12" ht="30.6" customHeight="1" x14ac:dyDescent="0.3">
      <c r="A14" s="15">
        <v>7</v>
      </c>
      <c r="B14" s="150" t="s">
        <v>151</v>
      </c>
      <c r="C14" s="151" t="s">
        <v>152</v>
      </c>
      <c r="D14" s="151">
        <v>70.83</v>
      </c>
      <c r="E14" s="151">
        <f t="shared" si="0"/>
        <v>14.165999999999999</v>
      </c>
      <c r="F14" s="151">
        <f t="shared" si="1"/>
        <v>84.995999999999995</v>
      </c>
      <c r="G14" s="152">
        <v>850000</v>
      </c>
      <c r="I14" s="3"/>
      <c r="L14" s="4"/>
    </row>
    <row r="15" spans="1:12" ht="63.75" customHeight="1" x14ac:dyDescent="0.3">
      <c r="A15" s="15">
        <v>8</v>
      </c>
      <c r="B15" s="150" t="s">
        <v>153</v>
      </c>
      <c r="C15" s="151" t="s">
        <v>143</v>
      </c>
      <c r="D15" s="151">
        <v>35.42</v>
      </c>
      <c r="E15" s="151">
        <f t="shared" si="0"/>
        <v>7.0840000000000005</v>
      </c>
      <c r="F15" s="151">
        <f t="shared" si="1"/>
        <v>42.504000000000005</v>
      </c>
      <c r="G15" s="152">
        <v>425000</v>
      </c>
      <c r="I15" s="3"/>
      <c r="L15" s="4"/>
    </row>
    <row r="16" spans="1:12" ht="48" customHeight="1" x14ac:dyDescent="0.3">
      <c r="A16" s="15">
        <v>9</v>
      </c>
      <c r="B16" s="150" t="s">
        <v>154</v>
      </c>
      <c r="C16" s="151" t="s">
        <v>155</v>
      </c>
      <c r="D16" s="151">
        <v>14.17</v>
      </c>
      <c r="E16" s="151">
        <f t="shared" si="0"/>
        <v>2.8339999999999996</v>
      </c>
      <c r="F16" s="151">
        <f t="shared" si="1"/>
        <v>17.003999999999998</v>
      </c>
      <c r="G16" s="152">
        <v>170000</v>
      </c>
      <c r="L16" s="4"/>
    </row>
    <row r="17" spans="1:8" ht="20.25" customHeight="1" x14ac:dyDescent="0.3">
      <c r="A17" s="144">
        <v>10</v>
      </c>
      <c r="B17" s="2" t="s">
        <v>347</v>
      </c>
      <c r="C17" s="151" t="s">
        <v>143</v>
      </c>
      <c r="D17" s="151">
        <v>2.5</v>
      </c>
      <c r="E17" s="151">
        <f t="shared" si="0"/>
        <v>0.5</v>
      </c>
      <c r="F17" s="151">
        <f t="shared" si="1"/>
        <v>3</v>
      </c>
      <c r="G17" s="1">
        <v>30000</v>
      </c>
      <c r="H17" s="14"/>
    </row>
    <row r="18" spans="1:8" x14ac:dyDescent="0.3">
      <c r="A18" s="14"/>
      <c r="B18" s="14"/>
      <c r="C18" s="14"/>
      <c r="D18" s="14"/>
      <c r="E18" s="14"/>
      <c r="F18" s="14"/>
      <c r="G18" s="14"/>
      <c r="H18" s="14"/>
    </row>
    <row r="19" spans="1:8" x14ac:dyDescent="0.3">
      <c r="A19" s="14"/>
      <c r="B19" s="14"/>
      <c r="C19" s="14"/>
      <c r="D19" s="14"/>
      <c r="E19" s="14"/>
      <c r="F19" s="14"/>
      <c r="G19" s="14"/>
      <c r="H19" s="14"/>
    </row>
    <row r="20" spans="1:8" ht="18.75" customHeight="1" x14ac:dyDescent="0.3">
      <c r="A20" s="14"/>
      <c r="B20" s="12"/>
      <c r="C20" s="12"/>
      <c r="D20" s="12"/>
      <c r="E20" s="12"/>
      <c r="F20" s="12"/>
      <c r="G20" s="13"/>
      <c r="H20" s="14"/>
    </row>
    <row r="21" spans="1:8" ht="15.6" customHeight="1" x14ac:dyDescent="0.3">
      <c r="A21" s="14"/>
      <c r="B21" s="12"/>
      <c r="C21" s="12"/>
      <c r="D21" s="12"/>
      <c r="E21" s="12"/>
      <c r="F21" s="12"/>
      <c r="G21" s="13"/>
      <c r="H21" s="14"/>
    </row>
    <row r="22" spans="1:8" ht="15.6" x14ac:dyDescent="0.3">
      <c r="A22" s="14"/>
      <c r="B22" s="458"/>
      <c r="C22" s="459"/>
      <c r="D22" s="12"/>
      <c r="E22" s="12"/>
      <c r="F22" s="12"/>
      <c r="G22" s="13"/>
      <c r="H22" s="14"/>
    </row>
    <row r="23" spans="1:8" ht="15.6" x14ac:dyDescent="0.3">
      <c r="A23" s="14"/>
      <c r="B23" s="14"/>
      <c r="C23" s="14"/>
      <c r="D23" s="14"/>
      <c r="E23" s="14"/>
      <c r="F23" s="14"/>
      <c r="G23" s="13"/>
      <c r="H23" s="14"/>
    </row>
    <row r="24" spans="1:8" ht="15.6" x14ac:dyDescent="0.3">
      <c r="A24" s="14"/>
      <c r="B24" s="12"/>
      <c r="C24" s="14"/>
      <c r="D24" s="14"/>
      <c r="E24" s="14"/>
      <c r="F24" s="14"/>
      <c r="G24" s="13"/>
      <c r="H24" s="14"/>
    </row>
    <row r="25" spans="1:8" ht="15.6" x14ac:dyDescent="0.3">
      <c r="A25" s="14"/>
      <c r="B25" s="12"/>
      <c r="C25" s="14"/>
      <c r="D25" s="14"/>
      <c r="E25" s="14"/>
      <c r="F25" s="14"/>
      <c r="G25" s="13"/>
      <c r="H25" s="14"/>
    </row>
    <row r="26" spans="1:8" ht="15.6" x14ac:dyDescent="0.3">
      <c r="A26" s="14"/>
      <c r="B26" s="12"/>
      <c r="C26" s="14"/>
      <c r="D26" s="14"/>
      <c r="E26" s="14"/>
      <c r="F26" s="14"/>
      <c r="G26" s="13"/>
      <c r="H26" s="14"/>
    </row>
    <row r="27" spans="1:8" x14ac:dyDescent="0.3">
      <c r="A27" s="14"/>
      <c r="B27" s="14"/>
      <c r="C27" s="14"/>
      <c r="D27" s="14"/>
      <c r="E27" s="14"/>
      <c r="F27" s="14"/>
      <c r="G27" s="14"/>
      <c r="H27" s="14"/>
    </row>
    <row r="28" spans="1:8" x14ac:dyDescent="0.3">
      <c r="A28" s="14"/>
      <c r="B28" s="14"/>
      <c r="C28" s="14"/>
      <c r="D28" s="14"/>
      <c r="E28" s="14"/>
      <c r="F28" s="14"/>
      <c r="G28" s="14"/>
      <c r="H28" s="14"/>
    </row>
  </sheetData>
  <mergeCells count="8">
    <mergeCell ref="B22:C22"/>
    <mergeCell ref="D5:G5"/>
    <mergeCell ref="A1:G1"/>
    <mergeCell ref="A2:G2"/>
    <mergeCell ref="A3:G3"/>
    <mergeCell ref="A5:A6"/>
    <mergeCell ref="B5:B6"/>
    <mergeCell ref="C5:C6"/>
  </mergeCells>
  <phoneticPr fontId="28" type="noConversion"/>
  <pageMargins left="0.7" right="0.7" top="0.75" bottom="0.75" header="0.3" footer="0.3"/>
  <pageSetup paperSize="9" scale="92" orientation="portrait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5" workbookViewId="0">
      <selection activeCell="C34" sqref="C34"/>
    </sheetView>
  </sheetViews>
  <sheetFormatPr defaultRowHeight="14.4" x14ac:dyDescent="0.3"/>
  <cols>
    <col min="1" max="1" width="26" customWidth="1"/>
    <col min="2" max="2" width="13.21875" customWidth="1"/>
    <col min="3" max="3" width="13" customWidth="1"/>
  </cols>
  <sheetData>
    <row r="1" spans="1:9" ht="17.399999999999999" x14ac:dyDescent="0.3">
      <c r="A1" s="465" t="s">
        <v>494</v>
      </c>
    </row>
    <row r="2" spans="1:9" ht="18" x14ac:dyDescent="0.35">
      <c r="A2" s="466"/>
    </row>
    <row r="3" spans="1:9" x14ac:dyDescent="0.3">
      <c r="B3" s="467" t="s">
        <v>495</v>
      </c>
      <c r="C3" s="467"/>
    </row>
    <row r="4" spans="1:9" ht="72" x14ac:dyDescent="0.35">
      <c r="A4" s="468"/>
      <c r="B4" s="469" t="s">
        <v>496</v>
      </c>
      <c r="C4" s="469" t="s">
        <v>497</v>
      </c>
    </row>
    <row r="5" spans="1:9" ht="18" x14ac:dyDescent="0.35">
      <c r="A5" s="468" t="s">
        <v>498</v>
      </c>
      <c r="B5" s="468">
        <v>9.42</v>
      </c>
      <c r="C5" s="468">
        <v>0.63</v>
      </c>
    </row>
    <row r="6" spans="1:9" ht="18" x14ac:dyDescent="0.35">
      <c r="A6" s="468" t="s">
        <v>499</v>
      </c>
      <c r="B6" s="468">
        <v>8.9499999999999993</v>
      </c>
      <c r="C6" s="470">
        <v>0.6</v>
      </c>
    </row>
    <row r="9" spans="1:9" ht="18" x14ac:dyDescent="0.35">
      <c r="A9" s="466" t="s">
        <v>500</v>
      </c>
    </row>
    <row r="10" spans="1:9" ht="18" x14ac:dyDescent="0.35">
      <c r="A10" s="466" t="s">
        <v>501</v>
      </c>
    </row>
    <row r="11" spans="1:9" ht="18" x14ac:dyDescent="0.35">
      <c r="A11" s="466" t="s">
        <v>502</v>
      </c>
    </row>
    <row r="13" spans="1:9" ht="58.8" customHeight="1" x14ac:dyDescent="0.35">
      <c r="A13" s="471" t="s">
        <v>503</v>
      </c>
      <c r="B13" s="471"/>
      <c r="C13" s="471"/>
      <c r="D13" s="471"/>
      <c r="E13" s="471"/>
      <c r="F13" s="471"/>
      <c r="G13" s="471"/>
      <c r="H13" s="471"/>
      <c r="I13" s="471"/>
    </row>
    <row r="16" spans="1:9" ht="17.399999999999999" x14ac:dyDescent="0.3">
      <c r="A16" s="465" t="s">
        <v>504</v>
      </c>
    </row>
    <row r="17" spans="1:9" ht="18" x14ac:dyDescent="0.35">
      <c r="A17" s="466"/>
    </row>
    <row r="18" spans="1:9" x14ac:dyDescent="0.3">
      <c r="C18" s="472" t="s">
        <v>505</v>
      </c>
    </row>
    <row r="19" spans="1:9" ht="72" x14ac:dyDescent="0.35">
      <c r="A19" s="468"/>
      <c r="B19" s="469" t="s">
        <v>496</v>
      </c>
      <c r="C19" s="469" t="s">
        <v>497</v>
      </c>
    </row>
    <row r="20" spans="1:9" ht="18" x14ac:dyDescent="0.35">
      <c r="A20" s="468" t="s">
        <v>506</v>
      </c>
      <c r="B20" s="468">
        <v>6.63</v>
      </c>
      <c r="C20" s="468">
        <v>0.44</v>
      </c>
    </row>
    <row r="21" spans="1:9" ht="18" x14ac:dyDescent="0.35">
      <c r="A21" s="468" t="s">
        <v>507</v>
      </c>
      <c r="B21" s="468">
        <v>6.26</v>
      </c>
      <c r="C21" s="468">
        <v>0.42</v>
      </c>
    </row>
    <row r="24" spans="1:9" ht="18" x14ac:dyDescent="0.35">
      <c r="A24" s="466" t="s">
        <v>500</v>
      </c>
    </row>
    <row r="25" spans="1:9" ht="18" x14ac:dyDescent="0.35">
      <c r="A25" s="466" t="s">
        <v>501</v>
      </c>
    </row>
    <row r="26" spans="1:9" ht="18" x14ac:dyDescent="0.35">
      <c r="A26" s="466" t="s">
        <v>502</v>
      </c>
    </row>
    <row r="28" spans="1:9" ht="55.8" customHeight="1" x14ac:dyDescent="0.35">
      <c r="A28" s="471" t="s">
        <v>503</v>
      </c>
      <c r="B28" s="471"/>
      <c r="C28" s="471"/>
      <c r="D28" s="471"/>
      <c r="E28" s="471"/>
      <c r="F28" s="471"/>
      <c r="G28" s="471"/>
      <c r="H28" s="471"/>
      <c r="I28" s="471"/>
    </row>
    <row r="31" spans="1:9" x14ac:dyDescent="0.3">
      <c r="A31" t="s">
        <v>508</v>
      </c>
    </row>
    <row r="32" spans="1:9" x14ac:dyDescent="0.3">
      <c r="A32" t="s">
        <v>509</v>
      </c>
    </row>
    <row r="33" spans="1:1" x14ac:dyDescent="0.3">
      <c r="A33" t="s">
        <v>510</v>
      </c>
    </row>
    <row r="34" spans="1:1" x14ac:dyDescent="0.3">
      <c r="A34" t="s">
        <v>511</v>
      </c>
    </row>
    <row r="35" spans="1:1" x14ac:dyDescent="0.3">
      <c r="A35" t="s">
        <v>512</v>
      </c>
    </row>
  </sheetData>
  <mergeCells count="3">
    <mergeCell ref="B3:C3"/>
    <mergeCell ref="A13:I13"/>
    <mergeCell ref="A28:I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11" zoomScaleNormal="100" workbookViewId="0">
      <selection activeCell="B42" sqref="B42"/>
    </sheetView>
  </sheetViews>
  <sheetFormatPr defaultRowHeight="15.6" x14ac:dyDescent="0.3"/>
  <cols>
    <col min="1" max="1" width="4.6640625" style="5" customWidth="1"/>
    <col min="2" max="2" width="51.44140625" style="5" customWidth="1"/>
    <col min="3" max="3" width="22.6640625" style="5" customWidth="1"/>
    <col min="4" max="4" width="23.77734375" style="5" customWidth="1"/>
    <col min="5" max="5" width="21.5546875" style="5" hidden="1" customWidth="1"/>
    <col min="6" max="256" width="8.88671875" style="5"/>
    <col min="257" max="257" width="4.6640625" style="5" customWidth="1"/>
    <col min="258" max="258" width="42" style="5" customWidth="1"/>
    <col min="259" max="259" width="20.88671875" style="5" customWidth="1"/>
    <col min="260" max="260" width="16.33203125" style="5" customWidth="1"/>
    <col min="261" max="261" width="21.5546875" style="5" customWidth="1"/>
    <col min="262" max="512" width="8.88671875" style="5"/>
    <col min="513" max="513" width="4.6640625" style="5" customWidth="1"/>
    <col min="514" max="514" width="42" style="5" customWidth="1"/>
    <col min="515" max="515" width="20.88671875" style="5" customWidth="1"/>
    <col min="516" max="516" width="16.33203125" style="5" customWidth="1"/>
    <col min="517" max="517" width="21.5546875" style="5" customWidth="1"/>
    <col min="518" max="768" width="8.88671875" style="5"/>
    <col min="769" max="769" width="4.6640625" style="5" customWidth="1"/>
    <col min="770" max="770" width="42" style="5" customWidth="1"/>
    <col min="771" max="771" width="20.88671875" style="5" customWidth="1"/>
    <col min="772" max="772" width="16.33203125" style="5" customWidth="1"/>
    <col min="773" max="773" width="21.5546875" style="5" customWidth="1"/>
    <col min="774" max="1024" width="8.88671875" style="5"/>
    <col min="1025" max="1025" width="4.6640625" style="5" customWidth="1"/>
    <col min="1026" max="1026" width="42" style="5" customWidth="1"/>
    <col min="1027" max="1027" width="20.88671875" style="5" customWidth="1"/>
    <col min="1028" max="1028" width="16.33203125" style="5" customWidth="1"/>
    <col min="1029" max="1029" width="21.5546875" style="5" customWidth="1"/>
    <col min="1030" max="1280" width="8.88671875" style="5"/>
    <col min="1281" max="1281" width="4.6640625" style="5" customWidth="1"/>
    <col min="1282" max="1282" width="42" style="5" customWidth="1"/>
    <col min="1283" max="1283" width="20.88671875" style="5" customWidth="1"/>
    <col min="1284" max="1284" width="16.33203125" style="5" customWidth="1"/>
    <col min="1285" max="1285" width="21.5546875" style="5" customWidth="1"/>
    <col min="1286" max="1536" width="8.88671875" style="5"/>
    <col min="1537" max="1537" width="4.6640625" style="5" customWidth="1"/>
    <col min="1538" max="1538" width="42" style="5" customWidth="1"/>
    <col min="1539" max="1539" width="20.88671875" style="5" customWidth="1"/>
    <col min="1540" max="1540" width="16.33203125" style="5" customWidth="1"/>
    <col min="1541" max="1541" width="21.5546875" style="5" customWidth="1"/>
    <col min="1542" max="1792" width="8.88671875" style="5"/>
    <col min="1793" max="1793" width="4.6640625" style="5" customWidth="1"/>
    <col min="1794" max="1794" width="42" style="5" customWidth="1"/>
    <col min="1795" max="1795" width="20.88671875" style="5" customWidth="1"/>
    <col min="1796" max="1796" width="16.33203125" style="5" customWidth="1"/>
    <col min="1797" max="1797" width="21.5546875" style="5" customWidth="1"/>
    <col min="1798" max="2048" width="8.88671875" style="5"/>
    <col min="2049" max="2049" width="4.6640625" style="5" customWidth="1"/>
    <col min="2050" max="2050" width="42" style="5" customWidth="1"/>
    <col min="2051" max="2051" width="20.88671875" style="5" customWidth="1"/>
    <col min="2052" max="2052" width="16.33203125" style="5" customWidth="1"/>
    <col min="2053" max="2053" width="21.5546875" style="5" customWidth="1"/>
    <col min="2054" max="2304" width="8.88671875" style="5"/>
    <col min="2305" max="2305" width="4.6640625" style="5" customWidth="1"/>
    <col min="2306" max="2306" width="42" style="5" customWidth="1"/>
    <col min="2307" max="2307" width="20.88671875" style="5" customWidth="1"/>
    <col min="2308" max="2308" width="16.33203125" style="5" customWidth="1"/>
    <col min="2309" max="2309" width="21.5546875" style="5" customWidth="1"/>
    <col min="2310" max="2560" width="8.88671875" style="5"/>
    <col min="2561" max="2561" width="4.6640625" style="5" customWidth="1"/>
    <col min="2562" max="2562" width="42" style="5" customWidth="1"/>
    <col min="2563" max="2563" width="20.88671875" style="5" customWidth="1"/>
    <col min="2564" max="2564" width="16.33203125" style="5" customWidth="1"/>
    <col min="2565" max="2565" width="21.5546875" style="5" customWidth="1"/>
    <col min="2566" max="2816" width="8.88671875" style="5"/>
    <col min="2817" max="2817" width="4.6640625" style="5" customWidth="1"/>
    <col min="2818" max="2818" width="42" style="5" customWidth="1"/>
    <col min="2819" max="2819" width="20.88671875" style="5" customWidth="1"/>
    <col min="2820" max="2820" width="16.33203125" style="5" customWidth="1"/>
    <col min="2821" max="2821" width="21.5546875" style="5" customWidth="1"/>
    <col min="2822" max="3072" width="8.88671875" style="5"/>
    <col min="3073" max="3073" width="4.6640625" style="5" customWidth="1"/>
    <col min="3074" max="3074" width="42" style="5" customWidth="1"/>
    <col min="3075" max="3075" width="20.88671875" style="5" customWidth="1"/>
    <col min="3076" max="3076" width="16.33203125" style="5" customWidth="1"/>
    <col min="3077" max="3077" width="21.5546875" style="5" customWidth="1"/>
    <col min="3078" max="3328" width="8.88671875" style="5"/>
    <col min="3329" max="3329" width="4.6640625" style="5" customWidth="1"/>
    <col min="3330" max="3330" width="42" style="5" customWidth="1"/>
    <col min="3331" max="3331" width="20.88671875" style="5" customWidth="1"/>
    <col min="3332" max="3332" width="16.33203125" style="5" customWidth="1"/>
    <col min="3333" max="3333" width="21.5546875" style="5" customWidth="1"/>
    <col min="3334" max="3584" width="8.88671875" style="5"/>
    <col min="3585" max="3585" width="4.6640625" style="5" customWidth="1"/>
    <col min="3586" max="3586" width="42" style="5" customWidth="1"/>
    <col min="3587" max="3587" width="20.88671875" style="5" customWidth="1"/>
    <col min="3588" max="3588" width="16.33203125" style="5" customWidth="1"/>
    <col min="3589" max="3589" width="21.5546875" style="5" customWidth="1"/>
    <col min="3590" max="3840" width="8.88671875" style="5"/>
    <col min="3841" max="3841" width="4.6640625" style="5" customWidth="1"/>
    <col min="3842" max="3842" width="42" style="5" customWidth="1"/>
    <col min="3843" max="3843" width="20.88671875" style="5" customWidth="1"/>
    <col min="3844" max="3844" width="16.33203125" style="5" customWidth="1"/>
    <col min="3845" max="3845" width="21.5546875" style="5" customWidth="1"/>
    <col min="3846" max="4096" width="8.88671875" style="5"/>
    <col min="4097" max="4097" width="4.6640625" style="5" customWidth="1"/>
    <col min="4098" max="4098" width="42" style="5" customWidth="1"/>
    <col min="4099" max="4099" width="20.88671875" style="5" customWidth="1"/>
    <col min="4100" max="4100" width="16.33203125" style="5" customWidth="1"/>
    <col min="4101" max="4101" width="21.5546875" style="5" customWidth="1"/>
    <col min="4102" max="4352" width="8.88671875" style="5"/>
    <col min="4353" max="4353" width="4.6640625" style="5" customWidth="1"/>
    <col min="4354" max="4354" width="42" style="5" customWidth="1"/>
    <col min="4355" max="4355" width="20.88671875" style="5" customWidth="1"/>
    <col min="4356" max="4356" width="16.33203125" style="5" customWidth="1"/>
    <col min="4357" max="4357" width="21.5546875" style="5" customWidth="1"/>
    <col min="4358" max="4608" width="8.88671875" style="5"/>
    <col min="4609" max="4609" width="4.6640625" style="5" customWidth="1"/>
    <col min="4610" max="4610" width="42" style="5" customWidth="1"/>
    <col min="4611" max="4611" width="20.88671875" style="5" customWidth="1"/>
    <col min="4612" max="4612" width="16.33203125" style="5" customWidth="1"/>
    <col min="4613" max="4613" width="21.5546875" style="5" customWidth="1"/>
    <col min="4614" max="4864" width="8.88671875" style="5"/>
    <col min="4865" max="4865" width="4.6640625" style="5" customWidth="1"/>
    <col min="4866" max="4866" width="42" style="5" customWidth="1"/>
    <col min="4867" max="4867" width="20.88671875" style="5" customWidth="1"/>
    <col min="4868" max="4868" width="16.33203125" style="5" customWidth="1"/>
    <col min="4869" max="4869" width="21.5546875" style="5" customWidth="1"/>
    <col min="4870" max="5120" width="8.88671875" style="5"/>
    <col min="5121" max="5121" width="4.6640625" style="5" customWidth="1"/>
    <col min="5122" max="5122" width="42" style="5" customWidth="1"/>
    <col min="5123" max="5123" width="20.88671875" style="5" customWidth="1"/>
    <col min="5124" max="5124" width="16.33203125" style="5" customWidth="1"/>
    <col min="5125" max="5125" width="21.5546875" style="5" customWidth="1"/>
    <col min="5126" max="5376" width="8.88671875" style="5"/>
    <col min="5377" max="5377" width="4.6640625" style="5" customWidth="1"/>
    <col min="5378" max="5378" width="42" style="5" customWidth="1"/>
    <col min="5379" max="5379" width="20.88671875" style="5" customWidth="1"/>
    <col min="5380" max="5380" width="16.33203125" style="5" customWidth="1"/>
    <col min="5381" max="5381" width="21.5546875" style="5" customWidth="1"/>
    <col min="5382" max="5632" width="8.88671875" style="5"/>
    <col min="5633" max="5633" width="4.6640625" style="5" customWidth="1"/>
    <col min="5634" max="5634" width="42" style="5" customWidth="1"/>
    <col min="5635" max="5635" width="20.88671875" style="5" customWidth="1"/>
    <col min="5636" max="5636" width="16.33203125" style="5" customWidth="1"/>
    <col min="5637" max="5637" width="21.5546875" style="5" customWidth="1"/>
    <col min="5638" max="5888" width="8.88671875" style="5"/>
    <col min="5889" max="5889" width="4.6640625" style="5" customWidth="1"/>
    <col min="5890" max="5890" width="42" style="5" customWidth="1"/>
    <col min="5891" max="5891" width="20.88671875" style="5" customWidth="1"/>
    <col min="5892" max="5892" width="16.33203125" style="5" customWidth="1"/>
    <col min="5893" max="5893" width="21.5546875" style="5" customWidth="1"/>
    <col min="5894" max="6144" width="8.88671875" style="5"/>
    <col min="6145" max="6145" width="4.6640625" style="5" customWidth="1"/>
    <col min="6146" max="6146" width="42" style="5" customWidth="1"/>
    <col min="6147" max="6147" width="20.88671875" style="5" customWidth="1"/>
    <col min="6148" max="6148" width="16.33203125" style="5" customWidth="1"/>
    <col min="6149" max="6149" width="21.5546875" style="5" customWidth="1"/>
    <col min="6150" max="6400" width="8.88671875" style="5"/>
    <col min="6401" max="6401" width="4.6640625" style="5" customWidth="1"/>
    <col min="6402" max="6402" width="42" style="5" customWidth="1"/>
    <col min="6403" max="6403" width="20.88671875" style="5" customWidth="1"/>
    <col min="6404" max="6404" width="16.33203125" style="5" customWidth="1"/>
    <col min="6405" max="6405" width="21.5546875" style="5" customWidth="1"/>
    <col min="6406" max="6656" width="8.88671875" style="5"/>
    <col min="6657" max="6657" width="4.6640625" style="5" customWidth="1"/>
    <col min="6658" max="6658" width="42" style="5" customWidth="1"/>
    <col min="6659" max="6659" width="20.88671875" style="5" customWidth="1"/>
    <col min="6660" max="6660" width="16.33203125" style="5" customWidth="1"/>
    <col min="6661" max="6661" width="21.5546875" style="5" customWidth="1"/>
    <col min="6662" max="6912" width="8.88671875" style="5"/>
    <col min="6913" max="6913" width="4.6640625" style="5" customWidth="1"/>
    <col min="6914" max="6914" width="42" style="5" customWidth="1"/>
    <col min="6915" max="6915" width="20.88671875" style="5" customWidth="1"/>
    <col min="6916" max="6916" width="16.33203125" style="5" customWidth="1"/>
    <col min="6917" max="6917" width="21.5546875" style="5" customWidth="1"/>
    <col min="6918" max="7168" width="8.88671875" style="5"/>
    <col min="7169" max="7169" width="4.6640625" style="5" customWidth="1"/>
    <col min="7170" max="7170" width="42" style="5" customWidth="1"/>
    <col min="7171" max="7171" width="20.88671875" style="5" customWidth="1"/>
    <col min="7172" max="7172" width="16.33203125" style="5" customWidth="1"/>
    <col min="7173" max="7173" width="21.5546875" style="5" customWidth="1"/>
    <col min="7174" max="7424" width="8.88671875" style="5"/>
    <col min="7425" max="7425" width="4.6640625" style="5" customWidth="1"/>
    <col min="7426" max="7426" width="42" style="5" customWidth="1"/>
    <col min="7427" max="7427" width="20.88671875" style="5" customWidth="1"/>
    <col min="7428" max="7428" width="16.33203125" style="5" customWidth="1"/>
    <col min="7429" max="7429" width="21.5546875" style="5" customWidth="1"/>
    <col min="7430" max="7680" width="8.88671875" style="5"/>
    <col min="7681" max="7681" width="4.6640625" style="5" customWidth="1"/>
    <col min="7682" max="7682" width="42" style="5" customWidth="1"/>
    <col min="7683" max="7683" width="20.88671875" style="5" customWidth="1"/>
    <col min="7684" max="7684" width="16.33203125" style="5" customWidth="1"/>
    <col min="7685" max="7685" width="21.5546875" style="5" customWidth="1"/>
    <col min="7686" max="7936" width="8.88671875" style="5"/>
    <col min="7937" max="7937" width="4.6640625" style="5" customWidth="1"/>
    <col min="7938" max="7938" width="42" style="5" customWidth="1"/>
    <col min="7939" max="7939" width="20.88671875" style="5" customWidth="1"/>
    <col min="7940" max="7940" width="16.33203125" style="5" customWidth="1"/>
    <col min="7941" max="7941" width="21.5546875" style="5" customWidth="1"/>
    <col min="7942" max="8192" width="8.88671875" style="5"/>
    <col min="8193" max="8193" width="4.6640625" style="5" customWidth="1"/>
    <col min="8194" max="8194" width="42" style="5" customWidth="1"/>
    <col min="8195" max="8195" width="20.88671875" style="5" customWidth="1"/>
    <col min="8196" max="8196" width="16.33203125" style="5" customWidth="1"/>
    <col min="8197" max="8197" width="21.5546875" style="5" customWidth="1"/>
    <col min="8198" max="8448" width="8.88671875" style="5"/>
    <col min="8449" max="8449" width="4.6640625" style="5" customWidth="1"/>
    <col min="8450" max="8450" width="42" style="5" customWidth="1"/>
    <col min="8451" max="8451" width="20.88671875" style="5" customWidth="1"/>
    <col min="8452" max="8452" width="16.33203125" style="5" customWidth="1"/>
    <col min="8453" max="8453" width="21.5546875" style="5" customWidth="1"/>
    <col min="8454" max="8704" width="8.88671875" style="5"/>
    <col min="8705" max="8705" width="4.6640625" style="5" customWidth="1"/>
    <col min="8706" max="8706" width="42" style="5" customWidth="1"/>
    <col min="8707" max="8707" width="20.88671875" style="5" customWidth="1"/>
    <col min="8708" max="8708" width="16.33203125" style="5" customWidth="1"/>
    <col min="8709" max="8709" width="21.5546875" style="5" customWidth="1"/>
    <col min="8710" max="8960" width="8.88671875" style="5"/>
    <col min="8961" max="8961" width="4.6640625" style="5" customWidth="1"/>
    <col min="8962" max="8962" width="42" style="5" customWidth="1"/>
    <col min="8963" max="8963" width="20.88671875" style="5" customWidth="1"/>
    <col min="8964" max="8964" width="16.33203125" style="5" customWidth="1"/>
    <col min="8965" max="8965" width="21.5546875" style="5" customWidth="1"/>
    <col min="8966" max="9216" width="8.88671875" style="5"/>
    <col min="9217" max="9217" width="4.6640625" style="5" customWidth="1"/>
    <col min="9218" max="9218" width="42" style="5" customWidth="1"/>
    <col min="9219" max="9219" width="20.88671875" style="5" customWidth="1"/>
    <col min="9220" max="9220" width="16.33203125" style="5" customWidth="1"/>
    <col min="9221" max="9221" width="21.5546875" style="5" customWidth="1"/>
    <col min="9222" max="9472" width="8.88671875" style="5"/>
    <col min="9473" max="9473" width="4.6640625" style="5" customWidth="1"/>
    <col min="9474" max="9474" width="42" style="5" customWidth="1"/>
    <col min="9475" max="9475" width="20.88671875" style="5" customWidth="1"/>
    <col min="9476" max="9476" width="16.33203125" style="5" customWidth="1"/>
    <col min="9477" max="9477" width="21.5546875" style="5" customWidth="1"/>
    <col min="9478" max="9728" width="8.88671875" style="5"/>
    <col min="9729" max="9729" width="4.6640625" style="5" customWidth="1"/>
    <col min="9730" max="9730" width="42" style="5" customWidth="1"/>
    <col min="9731" max="9731" width="20.88671875" style="5" customWidth="1"/>
    <col min="9732" max="9732" width="16.33203125" style="5" customWidth="1"/>
    <col min="9733" max="9733" width="21.5546875" style="5" customWidth="1"/>
    <col min="9734" max="9984" width="8.88671875" style="5"/>
    <col min="9985" max="9985" width="4.6640625" style="5" customWidth="1"/>
    <col min="9986" max="9986" width="42" style="5" customWidth="1"/>
    <col min="9987" max="9987" width="20.88671875" style="5" customWidth="1"/>
    <col min="9988" max="9988" width="16.33203125" style="5" customWidth="1"/>
    <col min="9989" max="9989" width="21.5546875" style="5" customWidth="1"/>
    <col min="9990" max="10240" width="8.88671875" style="5"/>
    <col min="10241" max="10241" width="4.6640625" style="5" customWidth="1"/>
    <col min="10242" max="10242" width="42" style="5" customWidth="1"/>
    <col min="10243" max="10243" width="20.88671875" style="5" customWidth="1"/>
    <col min="10244" max="10244" width="16.33203125" style="5" customWidth="1"/>
    <col min="10245" max="10245" width="21.5546875" style="5" customWidth="1"/>
    <col min="10246" max="10496" width="8.88671875" style="5"/>
    <col min="10497" max="10497" width="4.6640625" style="5" customWidth="1"/>
    <col min="10498" max="10498" width="42" style="5" customWidth="1"/>
    <col min="10499" max="10499" width="20.88671875" style="5" customWidth="1"/>
    <col min="10500" max="10500" width="16.33203125" style="5" customWidth="1"/>
    <col min="10501" max="10501" width="21.5546875" style="5" customWidth="1"/>
    <col min="10502" max="10752" width="8.88671875" style="5"/>
    <col min="10753" max="10753" width="4.6640625" style="5" customWidth="1"/>
    <col min="10754" max="10754" width="42" style="5" customWidth="1"/>
    <col min="10755" max="10755" width="20.88671875" style="5" customWidth="1"/>
    <col min="10756" max="10756" width="16.33203125" style="5" customWidth="1"/>
    <col min="10757" max="10757" width="21.5546875" style="5" customWidth="1"/>
    <col min="10758" max="11008" width="8.88671875" style="5"/>
    <col min="11009" max="11009" width="4.6640625" style="5" customWidth="1"/>
    <col min="11010" max="11010" width="42" style="5" customWidth="1"/>
    <col min="11011" max="11011" width="20.88671875" style="5" customWidth="1"/>
    <col min="11012" max="11012" width="16.33203125" style="5" customWidth="1"/>
    <col min="11013" max="11013" width="21.5546875" style="5" customWidth="1"/>
    <col min="11014" max="11264" width="8.88671875" style="5"/>
    <col min="11265" max="11265" width="4.6640625" style="5" customWidth="1"/>
    <col min="11266" max="11266" width="42" style="5" customWidth="1"/>
    <col min="11267" max="11267" width="20.88671875" style="5" customWidth="1"/>
    <col min="11268" max="11268" width="16.33203125" style="5" customWidth="1"/>
    <col min="11269" max="11269" width="21.5546875" style="5" customWidth="1"/>
    <col min="11270" max="11520" width="8.88671875" style="5"/>
    <col min="11521" max="11521" width="4.6640625" style="5" customWidth="1"/>
    <col min="11522" max="11522" width="42" style="5" customWidth="1"/>
    <col min="11523" max="11523" width="20.88671875" style="5" customWidth="1"/>
    <col min="11524" max="11524" width="16.33203125" style="5" customWidth="1"/>
    <col min="11525" max="11525" width="21.5546875" style="5" customWidth="1"/>
    <col min="11526" max="11776" width="8.88671875" style="5"/>
    <col min="11777" max="11777" width="4.6640625" style="5" customWidth="1"/>
    <col min="11778" max="11778" width="42" style="5" customWidth="1"/>
    <col min="11779" max="11779" width="20.88671875" style="5" customWidth="1"/>
    <col min="11780" max="11780" width="16.33203125" style="5" customWidth="1"/>
    <col min="11781" max="11781" width="21.5546875" style="5" customWidth="1"/>
    <col min="11782" max="12032" width="8.88671875" style="5"/>
    <col min="12033" max="12033" width="4.6640625" style="5" customWidth="1"/>
    <col min="12034" max="12034" width="42" style="5" customWidth="1"/>
    <col min="12035" max="12035" width="20.88671875" style="5" customWidth="1"/>
    <col min="12036" max="12036" width="16.33203125" style="5" customWidth="1"/>
    <col min="12037" max="12037" width="21.5546875" style="5" customWidth="1"/>
    <col min="12038" max="12288" width="8.88671875" style="5"/>
    <col min="12289" max="12289" width="4.6640625" style="5" customWidth="1"/>
    <col min="12290" max="12290" width="42" style="5" customWidth="1"/>
    <col min="12291" max="12291" width="20.88671875" style="5" customWidth="1"/>
    <col min="12292" max="12292" width="16.33203125" style="5" customWidth="1"/>
    <col min="12293" max="12293" width="21.5546875" style="5" customWidth="1"/>
    <col min="12294" max="12544" width="8.88671875" style="5"/>
    <col min="12545" max="12545" width="4.6640625" style="5" customWidth="1"/>
    <col min="12546" max="12546" width="42" style="5" customWidth="1"/>
    <col min="12547" max="12547" width="20.88671875" style="5" customWidth="1"/>
    <col min="12548" max="12548" width="16.33203125" style="5" customWidth="1"/>
    <col min="12549" max="12549" width="21.5546875" style="5" customWidth="1"/>
    <col min="12550" max="12800" width="8.88671875" style="5"/>
    <col min="12801" max="12801" width="4.6640625" style="5" customWidth="1"/>
    <col min="12802" max="12802" width="42" style="5" customWidth="1"/>
    <col min="12803" max="12803" width="20.88671875" style="5" customWidth="1"/>
    <col min="12804" max="12804" width="16.33203125" style="5" customWidth="1"/>
    <col min="12805" max="12805" width="21.5546875" style="5" customWidth="1"/>
    <col min="12806" max="13056" width="8.88671875" style="5"/>
    <col min="13057" max="13057" width="4.6640625" style="5" customWidth="1"/>
    <col min="13058" max="13058" width="42" style="5" customWidth="1"/>
    <col min="13059" max="13059" width="20.88671875" style="5" customWidth="1"/>
    <col min="13060" max="13060" width="16.33203125" style="5" customWidth="1"/>
    <col min="13061" max="13061" width="21.5546875" style="5" customWidth="1"/>
    <col min="13062" max="13312" width="8.88671875" style="5"/>
    <col min="13313" max="13313" width="4.6640625" style="5" customWidth="1"/>
    <col min="13314" max="13314" width="42" style="5" customWidth="1"/>
    <col min="13315" max="13315" width="20.88671875" style="5" customWidth="1"/>
    <col min="13316" max="13316" width="16.33203125" style="5" customWidth="1"/>
    <col min="13317" max="13317" width="21.5546875" style="5" customWidth="1"/>
    <col min="13318" max="13568" width="8.88671875" style="5"/>
    <col min="13569" max="13569" width="4.6640625" style="5" customWidth="1"/>
    <col min="13570" max="13570" width="42" style="5" customWidth="1"/>
    <col min="13571" max="13571" width="20.88671875" style="5" customWidth="1"/>
    <col min="13572" max="13572" width="16.33203125" style="5" customWidth="1"/>
    <col min="13573" max="13573" width="21.5546875" style="5" customWidth="1"/>
    <col min="13574" max="13824" width="8.88671875" style="5"/>
    <col min="13825" max="13825" width="4.6640625" style="5" customWidth="1"/>
    <col min="13826" max="13826" width="42" style="5" customWidth="1"/>
    <col min="13827" max="13827" width="20.88671875" style="5" customWidth="1"/>
    <col min="13828" max="13828" width="16.33203125" style="5" customWidth="1"/>
    <col min="13829" max="13829" width="21.5546875" style="5" customWidth="1"/>
    <col min="13830" max="14080" width="8.88671875" style="5"/>
    <col min="14081" max="14081" width="4.6640625" style="5" customWidth="1"/>
    <col min="14082" max="14082" width="42" style="5" customWidth="1"/>
    <col min="14083" max="14083" width="20.88671875" style="5" customWidth="1"/>
    <col min="14084" max="14084" width="16.33203125" style="5" customWidth="1"/>
    <col min="14085" max="14085" width="21.5546875" style="5" customWidth="1"/>
    <col min="14086" max="14336" width="8.88671875" style="5"/>
    <col min="14337" max="14337" width="4.6640625" style="5" customWidth="1"/>
    <col min="14338" max="14338" width="42" style="5" customWidth="1"/>
    <col min="14339" max="14339" width="20.88671875" style="5" customWidth="1"/>
    <col min="14340" max="14340" width="16.33203125" style="5" customWidth="1"/>
    <col min="14341" max="14341" width="21.5546875" style="5" customWidth="1"/>
    <col min="14342" max="14592" width="8.88671875" style="5"/>
    <col min="14593" max="14593" width="4.6640625" style="5" customWidth="1"/>
    <col min="14594" max="14594" width="42" style="5" customWidth="1"/>
    <col min="14595" max="14595" width="20.88671875" style="5" customWidth="1"/>
    <col min="14596" max="14596" width="16.33203125" style="5" customWidth="1"/>
    <col min="14597" max="14597" width="21.5546875" style="5" customWidth="1"/>
    <col min="14598" max="14848" width="8.88671875" style="5"/>
    <col min="14849" max="14849" width="4.6640625" style="5" customWidth="1"/>
    <col min="14850" max="14850" width="42" style="5" customWidth="1"/>
    <col min="14851" max="14851" width="20.88671875" style="5" customWidth="1"/>
    <col min="14852" max="14852" width="16.33203125" style="5" customWidth="1"/>
    <col min="14853" max="14853" width="21.5546875" style="5" customWidth="1"/>
    <col min="14854" max="15104" width="8.88671875" style="5"/>
    <col min="15105" max="15105" width="4.6640625" style="5" customWidth="1"/>
    <col min="15106" max="15106" width="42" style="5" customWidth="1"/>
    <col min="15107" max="15107" width="20.88671875" style="5" customWidth="1"/>
    <col min="15108" max="15108" width="16.33203125" style="5" customWidth="1"/>
    <col min="15109" max="15109" width="21.5546875" style="5" customWidth="1"/>
    <col min="15110" max="15360" width="8.88671875" style="5"/>
    <col min="15361" max="15361" width="4.6640625" style="5" customWidth="1"/>
    <col min="15362" max="15362" width="42" style="5" customWidth="1"/>
    <col min="15363" max="15363" width="20.88671875" style="5" customWidth="1"/>
    <col min="15364" max="15364" width="16.33203125" style="5" customWidth="1"/>
    <col min="15365" max="15365" width="21.5546875" style="5" customWidth="1"/>
    <col min="15366" max="15616" width="8.88671875" style="5"/>
    <col min="15617" max="15617" width="4.6640625" style="5" customWidth="1"/>
    <col min="15618" max="15618" width="42" style="5" customWidth="1"/>
    <col min="15619" max="15619" width="20.88671875" style="5" customWidth="1"/>
    <col min="15620" max="15620" width="16.33203125" style="5" customWidth="1"/>
    <col min="15621" max="15621" width="21.5546875" style="5" customWidth="1"/>
    <col min="15622" max="15872" width="8.88671875" style="5"/>
    <col min="15873" max="15873" width="4.6640625" style="5" customWidth="1"/>
    <col min="15874" max="15874" width="42" style="5" customWidth="1"/>
    <col min="15875" max="15875" width="20.88671875" style="5" customWidth="1"/>
    <col min="15876" max="15876" width="16.33203125" style="5" customWidth="1"/>
    <col min="15877" max="15877" width="21.5546875" style="5" customWidth="1"/>
    <col min="15878" max="16128" width="8.88671875" style="5"/>
    <col min="16129" max="16129" width="4.6640625" style="5" customWidth="1"/>
    <col min="16130" max="16130" width="42" style="5" customWidth="1"/>
    <col min="16131" max="16131" width="20.88671875" style="5" customWidth="1"/>
    <col min="16132" max="16132" width="16.33203125" style="5" customWidth="1"/>
    <col min="16133" max="16133" width="21.5546875" style="5" customWidth="1"/>
    <col min="16134" max="16384" width="8.88671875" style="5"/>
  </cols>
  <sheetData>
    <row r="1" spans="1:5" ht="18" hidden="1" x14ac:dyDescent="0.35">
      <c r="D1" s="330" t="s">
        <v>440</v>
      </c>
    </row>
    <row r="2" spans="1:5" ht="16.8" hidden="1" x14ac:dyDescent="0.3">
      <c r="D2" s="331" t="s">
        <v>343</v>
      </c>
    </row>
    <row r="3" spans="1:5" ht="16.8" hidden="1" x14ac:dyDescent="0.3">
      <c r="D3" s="331" t="s">
        <v>472</v>
      </c>
    </row>
    <row r="4" spans="1:5" ht="16.8" hidden="1" x14ac:dyDescent="0.3">
      <c r="D4" s="331" t="s">
        <v>442</v>
      </c>
    </row>
    <row r="5" spans="1:5" ht="16.8" hidden="1" x14ac:dyDescent="0.3">
      <c r="D5" s="331" t="s">
        <v>345</v>
      </c>
    </row>
    <row r="6" spans="1:5" ht="16.8" hidden="1" x14ac:dyDescent="0.3">
      <c r="D6" s="331" t="s">
        <v>346</v>
      </c>
    </row>
    <row r="7" spans="1:5" ht="16.8" hidden="1" x14ac:dyDescent="0.3">
      <c r="C7" s="351" t="s">
        <v>473</v>
      </c>
      <c r="D7" s="351"/>
    </row>
    <row r="8" spans="1:5" hidden="1" x14ac:dyDescent="0.3"/>
    <row r="9" spans="1:5" hidden="1" x14ac:dyDescent="0.3"/>
    <row r="10" spans="1:5" hidden="1" x14ac:dyDescent="0.3"/>
    <row r="12" spans="1:5" ht="20.399999999999999" x14ac:dyDescent="0.3">
      <c r="A12" s="352" t="s">
        <v>363</v>
      </c>
      <c r="B12" s="352"/>
      <c r="C12" s="352"/>
      <c r="D12" s="352"/>
      <c r="E12" s="352"/>
    </row>
    <row r="13" spans="1:5" ht="20.399999999999999" x14ac:dyDescent="0.3">
      <c r="A13" s="352" t="s">
        <v>364</v>
      </c>
      <c r="B13" s="352"/>
      <c r="C13" s="352"/>
      <c r="D13" s="352"/>
      <c r="E13" s="352"/>
    </row>
    <row r="14" spans="1:5" ht="20.399999999999999" x14ac:dyDescent="0.3">
      <c r="A14" s="352" t="s">
        <v>365</v>
      </c>
      <c r="B14" s="352"/>
      <c r="C14" s="352"/>
      <c r="D14" s="352"/>
      <c r="E14" s="352"/>
    </row>
    <row r="15" spans="1:5" ht="20.399999999999999" x14ac:dyDescent="0.3">
      <c r="A15" s="283"/>
      <c r="B15" s="283"/>
      <c r="C15" s="283"/>
      <c r="D15" s="283"/>
      <c r="E15" s="283"/>
    </row>
    <row r="16" spans="1:5" x14ac:dyDescent="0.3">
      <c r="D16" s="233" t="s">
        <v>474</v>
      </c>
    </row>
    <row r="17" spans="1:7" ht="15.75" customHeight="1" x14ac:dyDescent="0.3">
      <c r="A17" s="353" t="s">
        <v>1</v>
      </c>
      <c r="B17" s="353" t="s">
        <v>366</v>
      </c>
      <c r="C17" s="353" t="s">
        <v>367</v>
      </c>
      <c r="D17" s="353" t="s">
        <v>368</v>
      </c>
      <c r="E17" s="353" t="s">
        <v>369</v>
      </c>
    </row>
    <row r="18" spans="1:7" ht="69" customHeight="1" x14ac:dyDescent="0.3">
      <c r="A18" s="354"/>
      <c r="B18" s="354"/>
      <c r="C18" s="354"/>
      <c r="D18" s="354"/>
      <c r="E18" s="354"/>
    </row>
    <row r="19" spans="1:7" x14ac:dyDescent="0.3">
      <c r="A19" s="234">
        <v>1</v>
      </c>
      <c r="B19" s="234">
        <v>2</v>
      </c>
      <c r="C19" s="234">
        <v>3</v>
      </c>
      <c r="D19" s="234">
        <v>3</v>
      </c>
      <c r="E19" s="234">
        <v>4</v>
      </c>
    </row>
    <row r="20" spans="1:7" ht="15.6" customHeight="1" x14ac:dyDescent="0.3">
      <c r="A20" s="347" t="s">
        <v>370</v>
      </c>
      <c r="B20" s="347"/>
      <c r="C20" s="347"/>
      <c r="D20" s="347"/>
      <c r="E20" s="332"/>
    </row>
    <row r="21" spans="1:7" ht="26.4" customHeight="1" x14ac:dyDescent="0.3">
      <c r="A21" s="235" t="s">
        <v>159</v>
      </c>
      <c r="B21" s="236" t="s">
        <v>371</v>
      </c>
      <c r="C21" s="237" t="s">
        <v>372</v>
      </c>
      <c r="D21" s="238">
        <v>336.87</v>
      </c>
      <c r="E21" s="239">
        <v>2620400</v>
      </c>
      <c r="G21" s="333"/>
    </row>
    <row r="22" spans="1:7" ht="51" customHeight="1" x14ac:dyDescent="0.3">
      <c r="A22" s="235" t="s">
        <v>167</v>
      </c>
      <c r="B22" s="240" t="s">
        <v>475</v>
      </c>
      <c r="C22" s="237" t="s">
        <v>373</v>
      </c>
      <c r="D22" s="238">
        <v>962.81</v>
      </c>
      <c r="E22" s="239">
        <v>7710600</v>
      </c>
      <c r="G22" s="333"/>
    </row>
    <row r="23" spans="1:7" ht="17.399999999999999" x14ac:dyDescent="0.3">
      <c r="A23" s="348" t="s">
        <v>374</v>
      </c>
      <c r="B23" s="348"/>
      <c r="C23" s="348"/>
      <c r="D23" s="348"/>
      <c r="E23" s="334"/>
    </row>
    <row r="24" spans="1:7" ht="21" customHeight="1" x14ac:dyDescent="0.3">
      <c r="A24" s="235" t="s">
        <v>159</v>
      </c>
      <c r="B24" s="241" t="s">
        <v>476</v>
      </c>
      <c r="C24" s="242" t="s">
        <v>375</v>
      </c>
      <c r="D24" s="238">
        <v>98.77</v>
      </c>
      <c r="E24" s="239">
        <v>556400</v>
      </c>
    </row>
    <row r="25" spans="1:7" ht="16.8" x14ac:dyDescent="0.3">
      <c r="A25" s="235" t="s">
        <v>167</v>
      </c>
      <c r="B25" s="236" t="s">
        <v>376</v>
      </c>
      <c r="C25" s="242" t="s">
        <v>377</v>
      </c>
      <c r="D25" s="238">
        <v>113.02</v>
      </c>
      <c r="E25" s="239">
        <v>877700</v>
      </c>
    </row>
    <row r="26" spans="1:7" ht="21.6" customHeight="1" x14ac:dyDescent="0.3">
      <c r="A26" s="235" t="s">
        <v>168</v>
      </c>
      <c r="B26" s="236" t="s">
        <v>378</v>
      </c>
      <c r="C26" s="242" t="s">
        <v>375</v>
      </c>
      <c r="D26" s="238">
        <v>68.56</v>
      </c>
      <c r="E26" s="239">
        <v>502100</v>
      </c>
    </row>
    <row r="27" spans="1:7" ht="21.6" customHeight="1" x14ac:dyDescent="0.3">
      <c r="A27" s="235" t="s">
        <v>169</v>
      </c>
      <c r="B27" s="241" t="s">
        <v>477</v>
      </c>
      <c r="C27" s="242" t="s">
        <v>375</v>
      </c>
      <c r="D27" s="238">
        <v>100.03</v>
      </c>
      <c r="E27" s="239">
        <v>559000</v>
      </c>
    </row>
    <row r="28" spans="1:7" ht="22.2" customHeight="1" x14ac:dyDescent="0.3">
      <c r="A28" s="235" t="s">
        <v>170</v>
      </c>
      <c r="B28" s="241" t="s">
        <v>380</v>
      </c>
      <c r="C28" s="242" t="s">
        <v>379</v>
      </c>
      <c r="D28" s="238">
        <v>103.75</v>
      </c>
      <c r="E28" s="239">
        <v>645100</v>
      </c>
    </row>
    <row r="29" spans="1:7" ht="16.8" x14ac:dyDescent="0.3">
      <c r="A29" s="235" t="s">
        <v>381</v>
      </c>
      <c r="B29" s="241" t="s">
        <v>397</v>
      </c>
      <c r="C29" s="242" t="s">
        <v>382</v>
      </c>
      <c r="D29" s="238">
        <v>158.22999999999999</v>
      </c>
      <c r="E29" s="239">
        <v>1250100</v>
      </c>
    </row>
    <row r="30" spans="1:7" ht="16.8" x14ac:dyDescent="0.3">
      <c r="A30" s="235" t="s">
        <v>383</v>
      </c>
      <c r="B30" s="243" t="s">
        <v>384</v>
      </c>
      <c r="C30" s="237" t="s">
        <v>382</v>
      </c>
      <c r="D30" s="238">
        <v>152.69</v>
      </c>
      <c r="E30" s="239">
        <v>1149800</v>
      </c>
    </row>
    <row r="31" spans="1:7" ht="16.8" x14ac:dyDescent="0.3">
      <c r="A31" s="235" t="s">
        <v>385</v>
      </c>
      <c r="B31" s="243" t="s">
        <v>386</v>
      </c>
      <c r="C31" s="237" t="s">
        <v>382</v>
      </c>
      <c r="D31" s="238">
        <v>148.09</v>
      </c>
      <c r="E31" s="239">
        <v>1121100</v>
      </c>
      <c r="G31" s="333"/>
    </row>
    <row r="32" spans="1:7" ht="15.6" customHeight="1" x14ac:dyDescent="0.3">
      <c r="A32" s="235" t="s">
        <v>387</v>
      </c>
      <c r="B32" s="243" t="s">
        <v>388</v>
      </c>
      <c r="C32" s="237" t="s">
        <v>382</v>
      </c>
      <c r="D32" s="238">
        <v>146.22</v>
      </c>
      <c r="E32" s="239">
        <v>1133300</v>
      </c>
    </row>
    <row r="33" spans="1:5" ht="15.6" customHeight="1" x14ac:dyDescent="0.3">
      <c r="A33" s="235" t="s">
        <v>478</v>
      </c>
      <c r="B33" s="243" t="s">
        <v>479</v>
      </c>
      <c r="C33" s="242" t="s">
        <v>375</v>
      </c>
      <c r="D33" s="238">
        <v>98.23</v>
      </c>
      <c r="E33" s="335"/>
    </row>
    <row r="34" spans="1:5" ht="15.6" customHeight="1" x14ac:dyDescent="0.3">
      <c r="A34" s="235" t="s">
        <v>480</v>
      </c>
      <c r="B34" s="243" t="s">
        <v>481</v>
      </c>
      <c r="C34" s="237" t="s">
        <v>382</v>
      </c>
      <c r="D34" s="238">
        <v>127.24</v>
      </c>
      <c r="E34" s="335"/>
    </row>
    <row r="35" spans="1:5" ht="15.6" customHeight="1" x14ac:dyDescent="0.3">
      <c r="A35" s="235" t="s">
        <v>482</v>
      </c>
      <c r="B35" s="243" t="s">
        <v>483</v>
      </c>
      <c r="C35" s="242" t="s">
        <v>484</v>
      </c>
      <c r="D35" s="238">
        <v>116.5</v>
      </c>
      <c r="E35" s="335"/>
    </row>
    <row r="36" spans="1:5" ht="17.399999999999999" x14ac:dyDescent="0.3">
      <c r="A36" s="349" t="s">
        <v>389</v>
      </c>
      <c r="B36" s="349"/>
      <c r="C36" s="349"/>
      <c r="D36" s="349"/>
      <c r="E36" s="336"/>
    </row>
    <row r="37" spans="1:5" ht="47.4" customHeight="1" x14ac:dyDescent="0.3">
      <c r="A37" s="235" t="s">
        <v>159</v>
      </c>
      <c r="B37" s="240" t="s">
        <v>390</v>
      </c>
      <c r="C37" s="237" t="s">
        <v>391</v>
      </c>
      <c r="D37" s="238">
        <v>168.13</v>
      </c>
      <c r="E37" s="239">
        <v>1336400</v>
      </c>
    </row>
    <row r="38" spans="1:5" ht="35.4" customHeight="1" x14ac:dyDescent="0.3">
      <c r="A38" s="235" t="s">
        <v>167</v>
      </c>
      <c r="B38" s="244" t="s">
        <v>392</v>
      </c>
      <c r="C38" s="242" t="s">
        <v>393</v>
      </c>
      <c r="D38" s="238">
        <v>201.95</v>
      </c>
      <c r="E38" s="239">
        <v>1554200</v>
      </c>
    </row>
    <row r="39" spans="1:5" ht="16.8" x14ac:dyDescent="0.3">
      <c r="A39" s="235" t="s">
        <v>168</v>
      </c>
      <c r="B39" s="243" t="s">
        <v>394</v>
      </c>
      <c r="C39" s="242" t="s">
        <v>395</v>
      </c>
      <c r="D39" s="238">
        <v>136.25</v>
      </c>
      <c r="E39" s="239">
        <v>1092000</v>
      </c>
    </row>
    <row r="40" spans="1:5" ht="16.8" x14ac:dyDescent="0.3">
      <c r="A40" s="235" t="s">
        <v>169</v>
      </c>
      <c r="B40" s="243" t="s">
        <v>396</v>
      </c>
      <c r="C40" s="242" t="s">
        <v>395</v>
      </c>
      <c r="D40" s="238">
        <v>136.25</v>
      </c>
      <c r="E40" s="239">
        <v>1092000</v>
      </c>
    </row>
    <row r="41" spans="1:5" ht="35.4" customHeight="1" x14ac:dyDescent="0.3">
      <c r="A41" s="235" t="s">
        <v>170</v>
      </c>
      <c r="B41" s="337" t="s">
        <v>485</v>
      </c>
      <c r="C41" s="242" t="s">
        <v>484</v>
      </c>
      <c r="D41" s="238">
        <v>91.16</v>
      </c>
      <c r="E41" s="239">
        <v>515500</v>
      </c>
    </row>
    <row r="42" spans="1:5" ht="16.8" x14ac:dyDescent="0.3">
      <c r="A42" s="245"/>
      <c r="B42" s="246"/>
      <c r="C42" s="247"/>
      <c r="D42" s="248"/>
      <c r="E42" s="247"/>
    </row>
    <row r="43" spans="1:5" ht="18" hidden="1" x14ac:dyDescent="0.35">
      <c r="A43" s="271" t="s">
        <v>409</v>
      </c>
      <c r="C43" s="273"/>
      <c r="D43" s="274" t="s">
        <v>410</v>
      </c>
      <c r="E43" s="271" t="s">
        <v>410</v>
      </c>
    </row>
    <row r="44" spans="1:5" ht="16.8" x14ac:dyDescent="0.3">
      <c r="A44" s="245"/>
      <c r="B44" s="350"/>
      <c r="C44" s="350"/>
      <c r="D44" s="350"/>
      <c r="E44" s="350"/>
    </row>
    <row r="45" spans="1:5" ht="16.8" x14ac:dyDescent="0.3">
      <c r="A45" s="246"/>
      <c r="B45" s="350"/>
      <c r="C45" s="350"/>
      <c r="D45" s="350"/>
      <c r="E45" s="350"/>
    </row>
    <row r="46" spans="1:5" ht="16.8" x14ac:dyDescent="0.3">
      <c r="A46" s="246"/>
      <c r="B46" s="246"/>
      <c r="C46" s="246"/>
      <c r="D46" s="246"/>
      <c r="E46" s="246"/>
    </row>
  </sheetData>
  <mergeCells count="13">
    <mergeCell ref="A20:D20"/>
    <mergeCell ref="A23:D23"/>
    <mergeCell ref="A36:D36"/>
    <mergeCell ref="B44:E45"/>
    <mergeCell ref="C7:D7"/>
    <mergeCell ref="A12:E12"/>
    <mergeCell ref="A13:E13"/>
    <mergeCell ref="A14:E14"/>
    <mergeCell ref="A17:A18"/>
    <mergeCell ref="B17:B18"/>
    <mergeCell ref="C17:C18"/>
    <mergeCell ref="D17:D18"/>
    <mergeCell ref="E17:E18"/>
  </mergeCells>
  <pageMargins left="1.1811023622047245" right="0.39370078740157483" top="0.74803149606299213" bottom="0.74803149606299213" header="0.31496062992125984" footer="0.31496062992125984"/>
  <pageSetup paperSize="9"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60" zoomScaleNormal="100" workbookViewId="0">
      <selection activeCell="K9" sqref="K9"/>
    </sheetView>
  </sheetViews>
  <sheetFormatPr defaultRowHeight="15.6" x14ac:dyDescent="0.3"/>
  <cols>
    <col min="1" max="1" width="4.6640625" style="5" customWidth="1"/>
    <col min="2" max="2" width="35.109375" style="5" customWidth="1"/>
    <col min="3" max="3" width="20.88671875" style="5" customWidth="1"/>
    <col min="4" max="4" width="23" style="5" customWidth="1"/>
    <col min="5" max="5" width="22.6640625" style="5" customWidth="1"/>
    <col min="6" max="256" width="8.88671875" style="5"/>
    <col min="257" max="257" width="4.6640625" style="5" customWidth="1"/>
    <col min="258" max="258" width="35.109375" style="5" customWidth="1"/>
    <col min="259" max="259" width="20.88671875" style="5" customWidth="1"/>
    <col min="260" max="260" width="23" style="5" customWidth="1"/>
    <col min="261" max="261" width="22.6640625" style="5" customWidth="1"/>
    <col min="262" max="512" width="8.88671875" style="5"/>
    <col min="513" max="513" width="4.6640625" style="5" customWidth="1"/>
    <col min="514" max="514" width="35.109375" style="5" customWidth="1"/>
    <col min="515" max="515" width="20.88671875" style="5" customWidth="1"/>
    <col min="516" max="516" width="23" style="5" customWidth="1"/>
    <col min="517" max="517" width="22.6640625" style="5" customWidth="1"/>
    <col min="518" max="768" width="8.88671875" style="5"/>
    <col min="769" max="769" width="4.6640625" style="5" customWidth="1"/>
    <col min="770" max="770" width="35.109375" style="5" customWidth="1"/>
    <col min="771" max="771" width="20.88671875" style="5" customWidth="1"/>
    <col min="772" max="772" width="23" style="5" customWidth="1"/>
    <col min="773" max="773" width="22.6640625" style="5" customWidth="1"/>
    <col min="774" max="1024" width="8.88671875" style="5"/>
    <col min="1025" max="1025" width="4.6640625" style="5" customWidth="1"/>
    <col min="1026" max="1026" width="35.109375" style="5" customWidth="1"/>
    <col min="1027" max="1027" width="20.88671875" style="5" customWidth="1"/>
    <col min="1028" max="1028" width="23" style="5" customWidth="1"/>
    <col min="1029" max="1029" width="22.6640625" style="5" customWidth="1"/>
    <col min="1030" max="1280" width="8.88671875" style="5"/>
    <col min="1281" max="1281" width="4.6640625" style="5" customWidth="1"/>
    <col min="1282" max="1282" width="35.109375" style="5" customWidth="1"/>
    <col min="1283" max="1283" width="20.88671875" style="5" customWidth="1"/>
    <col min="1284" max="1284" width="23" style="5" customWidth="1"/>
    <col min="1285" max="1285" width="22.6640625" style="5" customWidth="1"/>
    <col min="1286" max="1536" width="8.88671875" style="5"/>
    <col min="1537" max="1537" width="4.6640625" style="5" customWidth="1"/>
    <col min="1538" max="1538" width="35.109375" style="5" customWidth="1"/>
    <col min="1539" max="1539" width="20.88671875" style="5" customWidth="1"/>
    <col min="1540" max="1540" width="23" style="5" customWidth="1"/>
    <col min="1541" max="1541" width="22.6640625" style="5" customWidth="1"/>
    <col min="1542" max="1792" width="8.88671875" style="5"/>
    <col min="1793" max="1793" width="4.6640625" style="5" customWidth="1"/>
    <col min="1794" max="1794" width="35.109375" style="5" customWidth="1"/>
    <col min="1795" max="1795" width="20.88671875" style="5" customWidth="1"/>
    <col min="1796" max="1796" width="23" style="5" customWidth="1"/>
    <col min="1797" max="1797" width="22.6640625" style="5" customWidth="1"/>
    <col min="1798" max="2048" width="8.88671875" style="5"/>
    <col min="2049" max="2049" width="4.6640625" style="5" customWidth="1"/>
    <col min="2050" max="2050" width="35.109375" style="5" customWidth="1"/>
    <col min="2051" max="2051" width="20.88671875" style="5" customWidth="1"/>
    <col min="2052" max="2052" width="23" style="5" customWidth="1"/>
    <col min="2053" max="2053" width="22.6640625" style="5" customWidth="1"/>
    <col min="2054" max="2304" width="8.88671875" style="5"/>
    <col min="2305" max="2305" width="4.6640625" style="5" customWidth="1"/>
    <col min="2306" max="2306" width="35.109375" style="5" customWidth="1"/>
    <col min="2307" max="2307" width="20.88671875" style="5" customWidth="1"/>
    <col min="2308" max="2308" width="23" style="5" customWidth="1"/>
    <col min="2309" max="2309" width="22.6640625" style="5" customWidth="1"/>
    <col min="2310" max="2560" width="8.88671875" style="5"/>
    <col min="2561" max="2561" width="4.6640625" style="5" customWidth="1"/>
    <col min="2562" max="2562" width="35.109375" style="5" customWidth="1"/>
    <col min="2563" max="2563" width="20.88671875" style="5" customWidth="1"/>
    <col min="2564" max="2564" width="23" style="5" customWidth="1"/>
    <col min="2565" max="2565" width="22.6640625" style="5" customWidth="1"/>
    <col min="2566" max="2816" width="8.88671875" style="5"/>
    <col min="2817" max="2817" width="4.6640625" style="5" customWidth="1"/>
    <col min="2818" max="2818" width="35.109375" style="5" customWidth="1"/>
    <col min="2819" max="2819" width="20.88671875" style="5" customWidth="1"/>
    <col min="2820" max="2820" width="23" style="5" customWidth="1"/>
    <col min="2821" max="2821" width="22.6640625" style="5" customWidth="1"/>
    <col min="2822" max="3072" width="8.88671875" style="5"/>
    <col min="3073" max="3073" width="4.6640625" style="5" customWidth="1"/>
    <col min="3074" max="3074" width="35.109375" style="5" customWidth="1"/>
    <col min="3075" max="3075" width="20.88671875" style="5" customWidth="1"/>
    <col min="3076" max="3076" width="23" style="5" customWidth="1"/>
    <col min="3077" max="3077" width="22.6640625" style="5" customWidth="1"/>
    <col min="3078" max="3328" width="8.88671875" style="5"/>
    <col min="3329" max="3329" width="4.6640625" style="5" customWidth="1"/>
    <col min="3330" max="3330" width="35.109375" style="5" customWidth="1"/>
    <col min="3331" max="3331" width="20.88671875" style="5" customWidth="1"/>
    <col min="3332" max="3332" width="23" style="5" customWidth="1"/>
    <col min="3333" max="3333" width="22.6640625" style="5" customWidth="1"/>
    <col min="3334" max="3584" width="8.88671875" style="5"/>
    <col min="3585" max="3585" width="4.6640625" style="5" customWidth="1"/>
    <col min="3586" max="3586" width="35.109375" style="5" customWidth="1"/>
    <col min="3587" max="3587" width="20.88671875" style="5" customWidth="1"/>
    <col min="3588" max="3588" width="23" style="5" customWidth="1"/>
    <col min="3589" max="3589" width="22.6640625" style="5" customWidth="1"/>
    <col min="3590" max="3840" width="8.88671875" style="5"/>
    <col min="3841" max="3841" width="4.6640625" style="5" customWidth="1"/>
    <col min="3842" max="3842" width="35.109375" style="5" customWidth="1"/>
    <col min="3843" max="3843" width="20.88671875" style="5" customWidth="1"/>
    <col min="3844" max="3844" width="23" style="5" customWidth="1"/>
    <col min="3845" max="3845" width="22.6640625" style="5" customWidth="1"/>
    <col min="3846" max="4096" width="8.88671875" style="5"/>
    <col min="4097" max="4097" width="4.6640625" style="5" customWidth="1"/>
    <col min="4098" max="4098" width="35.109375" style="5" customWidth="1"/>
    <col min="4099" max="4099" width="20.88671875" style="5" customWidth="1"/>
    <col min="4100" max="4100" width="23" style="5" customWidth="1"/>
    <col min="4101" max="4101" width="22.6640625" style="5" customWidth="1"/>
    <col min="4102" max="4352" width="8.88671875" style="5"/>
    <col min="4353" max="4353" width="4.6640625" style="5" customWidth="1"/>
    <col min="4354" max="4354" width="35.109375" style="5" customWidth="1"/>
    <col min="4355" max="4355" width="20.88671875" style="5" customWidth="1"/>
    <col min="4356" max="4356" width="23" style="5" customWidth="1"/>
    <col min="4357" max="4357" width="22.6640625" style="5" customWidth="1"/>
    <col min="4358" max="4608" width="8.88671875" style="5"/>
    <col min="4609" max="4609" width="4.6640625" style="5" customWidth="1"/>
    <col min="4610" max="4610" width="35.109375" style="5" customWidth="1"/>
    <col min="4611" max="4611" width="20.88671875" style="5" customWidth="1"/>
    <col min="4612" max="4612" width="23" style="5" customWidth="1"/>
    <col min="4613" max="4613" width="22.6640625" style="5" customWidth="1"/>
    <col min="4614" max="4864" width="8.88671875" style="5"/>
    <col min="4865" max="4865" width="4.6640625" style="5" customWidth="1"/>
    <col min="4866" max="4866" width="35.109375" style="5" customWidth="1"/>
    <col min="4867" max="4867" width="20.88671875" style="5" customWidth="1"/>
    <col min="4868" max="4868" width="23" style="5" customWidth="1"/>
    <col min="4869" max="4869" width="22.6640625" style="5" customWidth="1"/>
    <col min="4870" max="5120" width="8.88671875" style="5"/>
    <col min="5121" max="5121" width="4.6640625" style="5" customWidth="1"/>
    <col min="5122" max="5122" width="35.109375" style="5" customWidth="1"/>
    <col min="5123" max="5123" width="20.88671875" style="5" customWidth="1"/>
    <col min="5124" max="5124" width="23" style="5" customWidth="1"/>
    <col min="5125" max="5125" width="22.6640625" style="5" customWidth="1"/>
    <col min="5126" max="5376" width="8.88671875" style="5"/>
    <col min="5377" max="5377" width="4.6640625" style="5" customWidth="1"/>
    <col min="5378" max="5378" width="35.109375" style="5" customWidth="1"/>
    <col min="5379" max="5379" width="20.88671875" style="5" customWidth="1"/>
    <col min="5380" max="5380" width="23" style="5" customWidth="1"/>
    <col min="5381" max="5381" width="22.6640625" style="5" customWidth="1"/>
    <col min="5382" max="5632" width="8.88671875" style="5"/>
    <col min="5633" max="5633" width="4.6640625" style="5" customWidth="1"/>
    <col min="5634" max="5634" width="35.109375" style="5" customWidth="1"/>
    <col min="5635" max="5635" width="20.88671875" style="5" customWidth="1"/>
    <col min="5636" max="5636" width="23" style="5" customWidth="1"/>
    <col min="5637" max="5637" width="22.6640625" style="5" customWidth="1"/>
    <col min="5638" max="5888" width="8.88671875" style="5"/>
    <col min="5889" max="5889" width="4.6640625" style="5" customWidth="1"/>
    <col min="5890" max="5890" width="35.109375" style="5" customWidth="1"/>
    <col min="5891" max="5891" width="20.88671875" style="5" customWidth="1"/>
    <col min="5892" max="5892" width="23" style="5" customWidth="1"/>
    <col min="5893" max="5893" width="22.6640625" style="5" customWidth="1"/>
    <col min="5894" max="6144" width="8.88671875" style="5"/>
    <col min="6145" max="6145" width="4.6640625" style="5" customWidth="1"/>
    <col min="6146" max="6146" width="35.109375" style="5" customWidth="1"/>
    <col min="6147" max="6147" width="20.88671875" style="5" customWidth="1"/>
    <col min="6148" max="6148" width="23" style="5" customWidth="1"/>
    <col min="6149" max="6149" width="22.6640625" style="5" customWidth="1"/>
    <col min="6150" max="6400" width="8.88671875" style="5"/>
    <col min="6401" max="6401" width="4.6640625" style="5" customWidth="1"/>
    <col min="6402" max="6402" width="35.109375" style="5" customWidth="1"/>
    <col min="6403" max="6403" width="20.88671875" style="5" customWidth="1"/>
    <col min="6404" max="6404" width="23" style="5" customWidth="1"/>
    <col min="6405" max="6405" width="22.6640625" style="5" customWidth="1"/>
    <col min="6406" max="6656" width="8.88671875" style="5"/>
    <col min="6657" max="6657" width="4.6640625" style="5" customWidth="1"/>
    <col min="6658" max="6658" width="35.109375" style="5" customWidth="1"/>
    <col min="6659" max="6659" width="20.88671875" style="5" customWidth="1"/>
    <col min="6660" max="6660" width="23" style="5" customWidth="1"/>
    <col min="6661" max="6661" width="22.6640625" style="5" customWidth="1"/>
    <col min="6662" max="6912" width="8.88671875" style="5"/>
    <col min="6913" max="6913" width="4.6640625" style="5" customWidth="1"/>
    <col min="6914" max="6914" width="35.109375" style="5" customWidth="1"/>
    <col min="6915" max="6915" width="20.88671875" style="5" customWidth="1"/>
    <col min="6916" max="6916" width="23" style="5" customWidth="1"/>
    <col min="6917" max="6917" width="22.6640625" style="5" customWidth="1"/>
    <col min="6918" max="7168" width="8.88671875" style="5"/>
    <col min="7169" max="7169" width="4.6640625" style="5" customWidth="1"/>
    <col min="7170" max="7170" width="35.109375" style="5" customWidth="1"/>
    <col min="7171" max="7171" width="20.88671875" style="5" customWidth="1"/>
    <col min="7172" max="7172" width="23" style="5" customWidth="1"/>
    <col min="7173" max="7173" width="22.6640625" style="5" customWidth="1"/>
    <col min="7174" max="7424" width="8.88671875" style="5"/>
    <col min="7425" max="7425" width="4.6640625" style="5" customWidth="1"/>
    <col min="7426" max="7426" width="35.109375" style="5" customWidth="1"/>
    <col min="7427" max="7427" width="20.88671875" style="5" customWidth="1"/>
    <col min="7428" max="7428" width="23" style="5" customWidth="1"/>
    <col min="7429" max="7429" width="22.6640625" style="5" customWidth="1"/>
    <col min="7430" max="7680" width="8.88671875" style="5"/>
    <col min="7681" max="7681" width="4.6640625" style="5" customWidth="1"/>
    <col min="7682" max="7682" width="35.109375" style="5" customWidth="1"/>
    <col min="7683" max="7683" width="20.88671875" style="5" customWidth="1"/>
    <col min="7684" max="7684" width="23" style="5" customWidth="1"/>
    <col min="7685" max="7685" width="22.6640625" style="5" customWidth="1"/>
    <col min="7686" max="7936" width="8.88671875" style="5"/>
    <col min="7937" max="7937" width="4.6640625" style="5" customWidth="1"/>
    <col min="7938" max="7938" width="35.109375" style="5" customWidth="1"/>
    <col min="7939" max="7939" width="20.88671875" style="5" customWidth="1"/>
    <col min="7940" max="7940" width="23" style="5" customWidth="1"/>
    <col min="7941" max="7941" width="22.6640625" style="5" customWidth="1"/>
    <col min="7942" max="8192" width="8.88671875" style="5"/>
    <col min="8193" max="8193" width="4.6640625" style="5" customWidth="1"/>
    <col min="8194" max="8194" width="35.109375" style="5" customWidth="1"/>
    <col min="8195" max="8195" width="20.88671875" style="5" customWidth="1"/>
    <col min="8196" max="8196" width="23" style="5" customWidth="1"/>
    <col min="8197" max="8197" width="22.6640625" style="5" customWidth="1"/>
    <col min="8198" max="8448" width="8.88671875" style="5"/>
    <col min="8449" max="8449" width="4.6640625" style="5" customWidth="1"/>
    <col min="8450" max="8450" width="35.109375" style="5" customWidth="1"/>
    <col min="8451" max="8451" width="20.88671875" style="5" customWidth="1"/>
    <col min="8452" max="8452" width="23" style="5" customWidth="1"/>
    <col min="8453" max="8453" width="22.6640625" style="5" customWidth="1"/>
    <col min="8454" max="8704" width="8.88671875" style="5"/>
    <col min="8705" max="8705" width="4.6640625" style="5" customWidth="1"/>
    <col min="8706" max="8706" width="35.109375" style="5" customWidth="1"/>
    <col min="8707" max="8707" width="20.88671875" style="5" customWidth="1"/>
    <col min="8708" max="8708" width="23" style="5" customWidth="1"/>
    <col min="8709" max="8709" width="22.6640625" style="5" customWidth="1"/>
    <col min="8710" max="8960" width="8.88671875" style="5"/>
    <col min="8961" max="8961" width="4.6640625" style="5" customWidth="1"/>
    <col min="8962" max="8962" width="35.109375" style="5" customWidth="1"/>
    <col min="8963" max="8963" width="20.88671875" style="5" customWidth="1"/>
    <col min="8964" max="8964" width="23" style="5" customWidth="1"/>
    <col min="8965" max="8965" width="22.6640625" style="5" customWidth="1"/>
    <col min="8966" max="9216" width="8.88671875" style="5"/>
    <col min="9217" max="9217" width="4.6640625" style="5" customWidth="1"/>
    <col min="9218" max="9218" width="35.109375" style="5" customWidth="1"/>
    <col min="9219" max="9219" width="20.88671875" style="5" customWidth="1"/>
    <col min="9220" max="9220" width="23" style="5" customWidth="1"/>
    <col min="9221" max="9221" width="22.6640625" style="5" customWidth="1"/>
    <col min="9222" max="9472" width="8.88671875" style="5"/>
    <col min="9473" max="9473" width="4.6640625" style="5" customWidth="1"/>
    <col min="9474" max="9474" width="35.109375" style="5" customWidth="1"/>
    <col min="9475" max="9475" width="20.88671875" style="5" customWidth="1"/>
    <col min="9476" max="9476" width="23" style="5" customWidth="1"/>
    <col min="9477" max="9477" width="22.6640625" style="5" customWidth="1"/>
    <col min="9478" max="9728" width="8.88671875" style="5"/>
    <col min="9729" max="9729" width="4.6640625" style="5" customWidth="1"/>
    <col min="9730" max="9730" width="35.109375" style="5" customWidth="1"/>
    <col min="9731" max="9731" width="20.88671875" style="5" customWidth="1"/>
    <col min="9732" max="9732" width="23" style="5" customWidth="1"/>
    <col min="9733" max="9733" width="22.6640625" style="5" customWidth="1"/>
    <col min="9734" max="9984" width="8.88671875" style="5"/>
    <col min="9985" max="9985" width="4.6640625" style="5" customWidth="1"/>
    <col min="9986" max="9986" width="35.109375" style="5" customWidth="1"/>
    <col min="9987" max="9987" width="20.88671875" style="5" customWidth="1"/>
    <col min="9988" max="9988" width="23" style="5" customWidth="1"/>
    <col min="9989" max="9989" width="22.6640625" style="5" customWidth="1"/>
    <col min="9990" max="10240" width="8.88671875" style="5"/>
    <col min="10241" max="10241" width="4.6640625" style="5" customWidth="1"/>
    <col min="10242" max="10242" width="35.109375" style="5" customWidth="1"/>
    <col min="10243" max="10243" width="20.88671875" style="5" customWidth="1"/>
    <col min="10244" max="10244" width="23" style="5" customWidth="1"/>
    <col min="10245" max="10245" width="22.6640625" style="5" customWidth="1"/>
    <col min="10246" max="10496" width="8.88671875" style="5"/>
    <col min="10497" max="10497" width="4.6640625" style="5" customWidth="1"/>
    <col min="10498" max="10498" width="35.109375" style="5" customWidth="1"/>
    <col min="10499" max="10499" width="20.88671875" style="5" customWidth="1"/>
    <col min="10500" max="10500" width="23" style="5" customWidth="1"/>
    <col min="10501" max="10501" width="22.6640625" style="5" customWidth="1"/>
    <col min="10502" max="10752" width="8.88671875" style="5"/>
    <col min="10753" max="10753" width="4.6640625" style="5" customWidth="1"/>
    <col min="10754" max="10754" width="35.109375" style="5" customWidth="1"/>
    <col min="10755" max="10755" width="20.88671875" style="5" customWidth="1"/>
    <col min="10756" max="10756" width="23" style="5" customWidth="1"/>
    <col min="10757" max="10757" width="22.6640625" style="5" customWidth="1"/>
    <col min="10758" max="11008" width="8.88671875" style="5"/>
    <col min="11009" max="11009" width="4.6640625" style="5" customWidth="1"/>
    <col min="11010" max="11010" width="35.109375" style="5" customWidth="1"/>
    <col min="11011" max="11011" width="20.88671875" style="5" customWidth="1"/>
    <col min="11012" max="11012" width="23" style="5" customWidth="1"/>
    <col min="11013" max="11013" width="22.6640625" style="5" customWidth="1"/>
    <col min="11014" max="11264" width="8.88671875" style="5"/>
    <col min="11265" max="11265" width="4.6640625" style="5" customWidth="1"/>
    <col min="11266" max="11266" width="35.109375" style="5" customWidth="1"/>
    <col min="11267" max="11267" width="20.88671875" style="5" customWidth="1"/>
    <col min="11268" max="11268" width="23" style="5" customWidth="1"/>
    <col min="11269" max="11269" width="22.6640625" style="5" customWidth="1"/>
    <col min="11270" max="11520" width="8.88671875" style="5"/>
    <col min="11521" max="11521" width="4.6640625" style="5" customWidth="1"/>
    <col min="11522" max="11522" width="35.109375" style="5" customWidth="1"/>
    <col min="11523" max="11523" width="20.88671875" style="5" customWidth="1"/>
    <col min="11524" max="11524" width="23" style="5" customWidth="1"/>
    <col min="11525" max="11525" width="22.6640625" style="5" customWidth="1"/>
    <col min="11526" max="11776" width="8.88671875" style="5"/>
    <col min="11777" max="11777" width="4.6640625" style="5" customWidth="1"/>
    <col min="11778" max="11778" width="35.109375" style="5" customWidth="1"/>
    <col min="11779" max="11779" width="20.88671875" style="5" customWidth="1"/>
    <col min="11780" max="11780" width="23" style="5" customWidth="1"/>
    <col min="11781" max="11781" width="22.6640625" style="5" customWidth="1"/>
    <col min="11782" max="12032" width="8.88671875" style="5"/>
    <col min="12033" max="12033" width="4.6640625" style="5" customWidth="1"/>
    <col min="12034" max="12034" width="35.109375" style="5" customWidth="1"/>
    <col min="12035" max="12035" width="20.88671875" style="5" customWidth="1"/>
    <col min="12036" max="12036" width="23" style="5" customWidth="1"/>
    <col min="12037" max="12037" width="22.6640625" style="5" customWidth="1"/>
    <col min="12038" max="12288" width="8.88671875" style="5"/>
    <col min="12289" max="12289" width="4.6640625" style="5" customWidth="1"/>
    <col min="12290" max="12290" width="35.109375" style="5" customWidth="1"/>
    <col min="12291" max="12291" width="20.88671875" style="5" customWidth="1"/>
    <col min="12292" max="12292" width="23" style="5" customWidth="1"/>
    <col min="12293" max="12293" width="22.6640625" style="5" customWidth="1"/>
    <col min="12294" max="12544" width="8.88671875" style="5"/>
    <col min="12545" max="12545" width="4.6640625" style="5" customWidth="1"/>
    <col min="12546" max="12546" width="35.109375" style="5" customWidth="1"/>
    <col min="12547" max="12547" width="20.88671875" style="5" customWidth="1"/>
    <col min="12548" max="12548" width="23" style="5" customWidth="1"/>
    <col min="12549" max="12549" width="22.6640625" style="5" customWidth="1"/>
    <col min="12550" max="12800" width="8.88671875" style="5"/>
    <col min="12801" max="12801" width="4.6640625" style="5" customWidth="1"/>
    <col min="12802" max="12802" width="35.109375" style="5" customWidth="1"/>
    <col min="12803" max="12803" width="20.88671875" style="5" customWidth="1"/>
    <col min="12804" max="12804" width="23" style="5" customWidth="1"/>
    <col min="12805" max="12805" width="22.6640625" style="5" customWidth="1"/>
    <col min="12806" max="13056" width="8.88671875" style="5"/>
    <col min="13057" max="13057" width="4.6640625" style="5" customWidth="1"/>
    <col min="13058" max="13058" width="35.109375" style="5" customWidth="1"/>
    <col min="13059" max="13059" width="20.88671875" style="5" customWidth="1"/>
    <col min="13060" max="13060" width="23" style="5" customWidth="1"/>
    <col min="13061" max="13061" width="22.6640625" style="5" customWidth="1"/>
    <col min="13062" max="13312" width="8.88671875" style="5"/>
    <col min="13313" max="13313" width="4.6640625" style="5" customWidth="1"/>
    <col min="13314" max="13314" width="35.109375" style="5" customWidth="1"/>
    <col min="13315" max="13315" width="20.88671875" style="5" customWidth="1"/>
    <col min="13316" max="13316" width="23" style="5" customWidth="1"/>
    <col min="13317" max="13317" width="22.6640625" style="5" customWidth="1"/>
    <col min="13318" max="13568" width="8.88671875" style="5"/>
    <col min="13569" max="13569" width="4.6640625" style="5" customWidth="1"/>
    <col min="13570" max="13570" width="35.109375" style="5" customWidth="1"/>
    <col min="13571" max="13571" width="20.88671875" style="5" customWidth="1"/>
    <col min="13572" max="13572" width="23" style="5" customWidth="1"/>
    <col min="13573" max="13573" width="22.6640625" style="5" customWidth="1"/>
    <col min="13574" max="13824" width="8.88671875" style="5"/>
    <col min="13825" max="13825" width="4.6640625" style="5" customWidth="1"/>
    <col min="13826" max="13826" width="35.109375" style="5" customWidth="1"/>
    <col min="13827" max="13827" width="20.88671875" style="5" customWidth="1"/>
    <col min="13828" max="13828" width="23" style="5" customWidth="1"/>
    <col min="13829" max="13829" width="22.6640625" style="5" customWidth="1"/>
    <col min="13830" max="14080" width="8.88671875" style="5"/>
    <col min="14081" max="14081" width="4.6640625" style="5" customWidth="1"/>
    <col min="14082" max="14082" width="35.109375" style="5" customWidth="1"/>
    <col min="14083" max="14083" width="20.88671875" style="5" customWidth="1"/>
    <col min="14084" max="14084" width="23" style="5" customWidth="1"/>
    <col min="14085" max="14085" width="22.6640625" style="5" customWidth="1"/>
    <col min="14086" max="14336" width="8.88671875" style="5"/>
    <col min="14337" max="14337" width="4.6640625" style="5" customWidth="1"/>
    <col min="14338" max="14338" width="35.109375" style="5" customWidth="1"/>
    <col min="14339" max="14339" width="20.88671875" style="5" customWidth="1"/>
    <col min="14340" max="14340" width="23" style="5" customWidth="1"/>
    <col min="14341" max="14341" width="22.6640625" style="5" customWidth="1"/>
    <col min="14342" max="14592" width="8.88671875" style="5"/>
    <col min="14593" max="14593" width="4.6640625" style="5" customWidth="1"/>
    <col min="14594" max="14594" width="35.109375" style="5" customWidth="1"/>
    <col min="14595" max="14595" width="20.88671875" style="5" customWidth="1"/>
    <col min="14596" max="14596" width="23" style="5" customWidth="1"/>
    <col min="14597" max="14597" width="22.6640625" style="5" customWidth="1"/>
    <col min="14598" max="14848" width="8.88671875" style="5"/>
    <col min="14849" max="14849" width="4.6640625" style="5" customWidth="1"/>
    <col min="14850" max="14850" width="35.109375" style="5" customWidth="1"/>
    <col min="14851" max="14851" width="20.88671875" style="5" customWidth="1"/>
    <col min="14852" max="14852" width="23" style="5" customWidth="1"/>
    <col min="14853" max="14853" width="22.6640625" style="5" customWidth="1"/>
    <col min="14854" max="15104" width="8.88671875" style="5"/>
    <col min="15105" max="15105" width="4.6640625" style="5" customWidth="1"/>
    <col min="15106" max="15106" width="35.109375" style="5" customWidth="1"/>
    <col min="15107" max="15107" width="20.88671875" style="5" customWidth="1"/>
    <col min="15108" max="15108" width="23" style="5" customWidth="1"/>
    <col min="15109" max="15109" width="22.6640625" style="5" customWidth="1"/>
    <col min="15110" max="15360" width="8.88671875" style="5"/>
    <col min="15361" max="15361" width="4.6640625" style="5" customWidth="1"/>
    <col min="15362" max="15362" width="35.109375" style="5" customWidth="1"/>
    <col min="15363" max="15363" width="20.88671875" style="5" customWidth="1"/>
    <col min="15364" max="15364" width="23" style="5" customWidth="1"/>
    <col min="15365" max="15365" width="22.6640625" style="5" customWidth="1"/>
    <col min="15366" max="15616" width="8.88671875" style="5"/>
    <col min="15617" max="15617" width="4.6640625" style="5" customWidth="1"/>
    <col min="15618" max="15618" width="35.109375" style="5" customWidth="1"/>
    <col min="15619" max="15619" width="20.88671875" style="5" customWidth="1"/>
    <col min="15620" max="15620" width="23" style="5" customWidth="1"/>
    <col min="15621" max="15621" width="22.6640625" style="5" customWidth="1"/>
    <col min="15622" max="15872" width="8.88671875" style="5"/>
    <col min="15873" max="15873" width="4.6640625" style="5" customWidth="1"/>
    <col min="15874" max="15874" width="35.109375" style="5" customWidth="1"/>
    <col min="15875" max="15875" width="20.88671875" style="5" customWidth="1"/>
    <col min="15876" max="15876" width="23" style="5" customWidth="1"/>
    <col min="15877" max="15877" width="22.6640625" style="5" customWidth="1"/>
    <col min="15878" max="16128" width="8.88671875" style="5"/>
    <col min="16129" max="16129" width="4.6640625" style="5" customWidth="1"/>
    <col min="16130" max="16130" width="35.109375" style="5" customWidth="1"/>
    <col min="16131" max="16131" width="20.88671875" style="5" customWidth="1"/>
    <col min="16132" max="16132" width="23" style="5" customWidth="1"/>
    <col min="16133" max="16133" width="22.6640625" style="5" customWidth="1"/>
    <col min="16134" max="16384" width="8.88671875" style="5"/>
  </cols>
  <sheetData>
    <row r="1" spans="1:5" ht="20.399999999999999" x14ac:dyDescent="0.3">
      <c r="A1" s="352" t="s">
        <v>363</v>
      </c>
      <c r="B1" s="352"/>
      <c r="C1" s="352"/>
      <c r="D1" s="352"/>
      <c r="E1" s="352"/>
    </row>
    <row r="2" spans="1:5" ht="20.399999999999999" x14ac:dyDescent="0.3">
      <c r="A2" s="352" t="s">
        <v>364</v>
      </c>
      <c r="B2" s="352"/>
      <c r="C2" s="352"/>
      <c r="D2" s="352"/>
      <c r="E2" s="352"/>
    </row>
    <row r="3" spans="1:5" ht="20.399999999999999" x14ac:dyDescent="0.3">
      <c r="A3" s="352" t="s">
        <v>400</v>
      </c>
      <c r="B3" s="352"/>
      <c r="C3" s="352"/>
      <c r="D3" s="352"/>
      <c r="E3" s="352"/>
    </row>
    <row r="4" spans="1:5" ht="20.399999999999999" x14ac:dyDescent="0.3">
      <c r="A4" s="232"/>
      <c r="B4" s="232"/>
      <c r="C4" s="232"/>
      <c r="D4" s="232"/>
      <c r="E4" s="233" t="s">
        <v>359</v>
      </c>
    </row>
    <row r="5" spans="1:5" ht="69" customHeight="1" x14ac:dyDescent="0.3">
      <c r="A5" s="229" t="s">
        <v>1</v>
      </c>
      <c r="B5" s="229" t="s">
        <v>366</v>
      </c>
      <c r="C5" s="229" t="s">
        <v>367</v>
      </c>
      <c r="D5" s="229" t="s">
        <v>368</v>
      </c>
      <c r="E5" s="229" t="s">
        <v>399</v>
      </c>
    </row>
    <row r="6" spans="1:5" ht="15.6" customHeight="1" x14ac:dyDescent="0.3">
      <c r="A6" s="234">
        <v>1</v>
      </c>
      <c r="B6" s="234">
        <v>2</v>
      </c>
      <c r="C6" s="234">
        <v>3</v>
      </c>
      <c r="D6" s="234">
        <v>6</v>
      </c>
      <c r="E6" s="234">
        <v>5</v>
      </c>
    </row>
    <row r="7" spans="1:5" ht="17.399999999999999" x14ac:dyDescent="0.3">
      <c r="A7" s="347" t="s">
        <v>401</v>
      </c>
      <c r="B7" s="347"/>
      <c r="C7" s="347"/>
      <c r="D7" s="347"/>
      <c r="E7" s="347"/>
    </row>
    <row r="8" spans="1:5" ht="16.8" x14ac:dyDescent="0.3">
      <c r="A8" s="249" t="s">
        <v>159</v>
      </c>
      <c r="B8" s="250" t="s">
        <v>402</v>
      </c>
      <c r="C8" s="251" t="s">
        <v>372</v>
      </c>
      <c r="D8" s="238">
        <v>361.27</v>
      </c>
      <c r="E8" s="239">
        <v>3612700</v>
      </c>
    </row>
    <row r="9" spans="1:5" ht="46.8" x14ac:dyDescent="0.3">
      <c r="A9" s="249" t="s">
        <v>167</v>
      </c>
      <c r="B9" s="252" t="s">
        <v>403</v>
      </c>
      <c r="C9" s="251" t="s">
        <v>373</v>
      </c>
      <c r="D9" s="238">
        <v>1100</v>
      </c>
      <c r="E9" s="239">
        <v>11000000</v>
      </c>
    </row>
    <row r="11" spans="1:5" ht="16.8" x14ac:dyDescent="0.3">
      <c r="B11" s="246"/>
      <c r="C11" s="247"/>
      <c r="E11" s="248"/>
    </row>
    <row r="12" spans="1:5" ht="16.8" x14ac:dyDescent="0.3">
      <c r="B12" s="246"/>
      <c r="C12" s="247"/>
      <c r="E12" s="248"/>
    </row>
    <row r="13" spans="1:5" ht="15.6" customHeight="1" x14ac:dyDescent="0.3">
      <c r="B13" s="350"/>
      <c r="C13" s="350"/>
      <c r="D13" s="350"/>
      <c r="E13" s="350"/>
    </row>
    <row r="14" spans="1:5" ht="15.6" customHeight="1" x14ac:dyDescent="0.3">
      <c r="B14" s="350"/>
      <c r="C14" s="350"/>
      <c r="D14" s="350"/>
      <c r="E14" s="350"/>
    </row>
  </sheetData>
  <mergeCells count="5">
    <mergeCell ref="A1:E1"/>
    <mergeCell ref="A2:E2"/>
    <mergeCell ref="A3:E3"/>
    <mergeCell ref="A7:E7"/>
    <mergeCell ref="B13:E14"/>
  </mergeCells>
  <pageMargins left="0.7" right="0.7" top="0.75" bottom="0.75" header="0.3" footer="0.3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view="pageBreakPreview" topLeftCell="B11" zoomScaleNormal="100" zoomScaleSheetLayoutView="100" workbookViewId="0">
      <selection activeCell="H19" sqref="H19"/>
    </sheetView>
  </sheetViews>
  <sheetFormatPr defaultColWidth="9.109375" defaultRowHeight="15.6" x14ac:dyDescent="0.3"/>
  <cols>
    <col min="1" max="1" width="4.109375" style="5" customWidth="1"/>
    <col min="2" max="2" width="4.109375" style="6" customWidth="1"/>
    <col min="3" max="3" width="32.109375" style="5" customWidth="1"/>
    <col min="4" max="4" width="11.44140625" style="5" customWidth="1"/>
    <col min="5" max="6" width="9.88671875" style="5" customWidth="1"/>
    <col min="7" max="7" width="13.109375" style="5" customWidth="1"/>
    <col min="8" max="8" width="14.88671875" style="5" customWidth="1"/>
    <col min="9" max="16384" width="9.109375" style="5"/>
  </cols>
  <sheetData>
    <row r="1" spans="2:8" ht="18" hidden="1" x14ac:dyDescent="0.35">
      <c r="H1" s="330" t="s">
        <v>440</v>
      </c>
    </row>
    <row r="2" spans="2:8" hidden="1" x14ac:dyDescent="0.3">
      <c r="H2" s="341" t="s">
        <v>343</v>
      </c>
    </row>
    <row r="3" spans="2:8" hidden="1" x14ac:dyDescent="0.3">
      <c r="H3" s="341" t="s">
        <v>344</v>
      </c>
    </row>
    <row r="4" spans="2:8" hidden="1" x14ac:dyDescent="0.3">
      <c r="H4" s="341" t="s">
        <v>345</v>
      </c>
    </row>
    <row r="5" spans="2:8" hidden="1" x14ac:dyDescent="0.3">
      <c r="H5" s="341" t="s">
        <v>346</v>
      </c>
    </row>
    <row r="6" spans="2:8" ht="18" hidden="1" x14ac:dyDescent="0.35">
      <c r="G6" s="340" t="s">
        <v>486</v>
      </c>
    </row>
    <row r="7" spans="2:8" hidden="1" x14ac:dyDescent="0.3"/>
    <row r="8" spans="2:8" hidden="1" x14ac:dyDescent="0.3"/>
    <row r="9" spans="2:8" hidden="1" x14ac:dyDescent="0.3"/>
    <row r="10" spans="2:8" hidden="1" x14ac:dyDescent="0.3"/>
    <row r="14" spans="2:8" ht="17.399999999999999" x14ac:dyDescent="0.3">
      <c r="B14" s="355" t="s">
        <v>0</v>
      </c>
      <c r="C14" s="355"/>
      <c r="D14" s="355"/>
      <c r="E14" s="355"/>
      <c r="F14" s="355"/>
      <c r="G14" s="355"/>
      <c r="H14" s="355"/>
    </row>
    <row r="15" spans="2:8" ht="30.75" customHeight="1" x14ac:dyDescent="0.3">
      <c r="B15" s="356" t="s">
        <v>493</v>
      </c>
      <c r="C15" s="356"/>
      <c r="D15" s="356"/>
      <c r="E15" s="356"/>
      <c r="F15" s="356"/>
      <c r="G15" s="356"/>
      <c r="H15" s="356"/>
    </row>
    <row r="16" spans="2:8" ht="23.25" customHeight="1" x14ac:dyDescent="0.3">
      <c r="H16" s="89" t="s">
        <v>488</v>
      </c>
    </row>
    <row r="17" spans="2:8" ht="78.599999999999994" customHeight="1" x14ac:dyDescent="0.3">
      <c r="B17" s="15" t="s">
        <v>1</v>
      </c>
      <c r="C17" s="15" t="s">
        <v>2</v>
      </c>
      <c r="D17" s="15" t="s">
        <v>158</v>
      </c>
      <c r="E17" s="15" t="s">
        <v>489</v>
      </c>
      <c r="F17" s="15" t="s">
        <v>490</v>
      </c>
      <c r="G17" s="15" t="s">
        <v>491</v>
      </c>
      <c r="H17" s="15" t="s">
        <v>492</v>
      </c>
    </row>
    <row r="18" spans="2:8" x14ac:dyDescent="0.3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</row>
    <row r="19" spans="2:8" ht="33.75" customHeight="1" x14ac:dyDescent="0.3">
      <c r="B19" s="15" t="s">
        <v>159</v>
      </c>
      <c r="C19" s="150" t="s">
        <v>165</v>
      </c>
      <c r="D19" s="16" t="s">
        <v>166</v>
      </c>
      <c r="E19" s="151">
        <v>31.29</v>
      </c>
      <c r="F19" s="151">
        <f>E19/100*20</f>
        <v>6.258</v>
      </c>
      <c r="G19" s="151">
        <f>E19+F19</f>
        <v>37.548000000000002</v>
      </c>
      <c r="H19" s="151">
        <f>37.55+2</f>
        <v>39.549999999999997</v>
      </c>
    </row>
    <row r="20" spans="2:8" ht="31.2" x14ac:dyDescent="0.3">
      <c r="B20" s="15" t="s">
        <v>167</v>
      </c>
      <c r="C20" s="150" t="s">
        <v>160</v>
      </c>
      <c r="D20" s="16" t="s">
        <v>161</v>
      </c>
      <c r="E20" s="151">
        <v>13.97</v>
      </c>
      <c r="F20" s="151">
        <f>E20/100*20</f>
        <v>2.7940000000000005</v>
      </c>
      <c r="G20" s="151">
        <f>E20+F20</f>
        <v>16.764000000000003</v>
      </c>
      <c r="H20" s="151">
        <f>16.76+2</f>
        <v>18.760000000000002</v>
      </c>
    </row>
    <row r="21" spans="2:8" ht="31.2" x14ac:dyDescent="0.3">
      <c r="B21" s="15" t="s">
        <v>168</v>
      </c>
      <c r="C21" s="150" t="s">
        <v>162</v>
      </c>
      <c r="D21" s="16" t="s">
        <v>161</v>
      </c>
      <c r="E21" s="151">
        <v>11.175000000000001</v>
      </c>
      <c r="F21" s="151">
        <f>E21/100*20</f>
        <v>2.2349999999999999</v>
      </c>
      <c r="G21" s="151">
        <f>E21+F21</f>
        <v>13.41</v>
      </c>
      <c r="H21" s="151">
        <f>G21+2</f>
        <v>15.41</v>
      </c>
    </row>
    <row r="22" spans="2:8" ht="31.2" x14ac:dyDescent="0.3">
      <c r="B22" s="15" t="s">
        <v>169</v>
      </c>
      <c r="C22" s="150" t="s">
        <v>163</v>
      </c>
      <c r="D22" s="16" t="s">
        <v>161</v>
      </c>
      <c r="E22" s="151">
        <v>10.06</v>
      </c>
      <c r="F22" s="151">
        <f>E22/100*20</f>
        <v>2.012</v>
      </c>
      <c r="G22" s="151">
        <f>E22+F22</f>
        <v>12.072000000000001</v>
      </c>
      <c r="H22" s="151">
        <f t="shared" ref="H22:H23" si="0">G22+2</f>
        <v>14.072000000000001</v>
      </c>
    </row>
    <row r="23" spans="2:8" ht="27" x14ac:dyDescent="0.3">
      <c r="B23" s="15" t="s">
        <v>170</v>
      </c>
      <c r="C23" s="150" t="s">
        <v>164</v>
      </c>
      <c r="D23" s="16" t="s">
        <v>161</v>
      </c>
      <c r="E23" s="151">
        <v>3.91</v>
      </c>
      <c r="F23" s="151">
        <f>E23/100*20</f>
        <v>0.78200000000000003</v>
      </c>
      <c r="G23" s="151">
        <f>E23+F23</f>
        <v>4.6920000000000002</v>
      </c>
      <c r="H23" s="151">
        <f t="shared" si="0"/>
        <v>6.6920000000000002</v>
      </c>
    </row>
    <row r="24" spans="2:8" x14ac:dyDescent="0.3">
      <c r="B24" s="342"/>
      <c r="C24" s="343"/>
      <c r="D24" s="344"/>
      <c r="E24" s="345"/>
      <c r="F24" s="345"/>
      <c r="G24" s="345"/>
      <c r="H24" s="346"/>
    </row>
    <row r="25" spans="2:8" ht="18" hidden="1" x14ac:dyDescent="0.35">
      <c r="C25" s="271" t="s">
        <v>409</v>
      </c>
      <c r="D25" s="273"/>
      <c r="E25" s="274"/>
      <c r="G25" s="271" t="s">
        <v>410</v>
      </c>
    </row>
  </sheetData>
  <mergeCells count="2">
    <mergeCell ref="B14:H14"/>
    <mergeCell ref="B15:H15"/>
  </mergeCells>
  <pageMargins left="0.7" right="0.7" top="0.75" bottom="0.75" header="0.3" footer="0.3"/>
  <pageSetup paperSize="9" scale="87" fitToHeight="0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view="pageBreakPreview" topLeftCell="B11" zoomScaleNormal="100" workbookViewId="0">
      <selection activeCell="C27" sqref="C27"/>
    </sheetView>
  </sheetViews>
  <sheetFormatPr defaultColWidth="9.109375" defaultRowHeight="15.6" x14ac:dyDescent="0.3"/>
  <cols>
    <col min="1" max="1" width="4.109375" style="5" customWidth="1"/>
    <col min="2" max="2" width="4.109375" style="6" customWidth="1"/>
    <col min="3" max="3" width="32.109375" style="5" customWidth="1"/>
    <col min="4" max="4" width="11.44140625" style="5" customWidth="1"/>
    <col min="5" max="5" width="9.109375" style="5" customWidth="1"/>
    <col min="6" max="6" width="9.33203125" style="5" customWidth="1"/>
    <col min="7" max="7" width="12.77734375" style="5" customWidth="1"/>
    <col min="8" max="8" width="14.88671875" style="5" customWidth="1"/>
    <col min="9" max="16384" width="9.109375" style="5"/>
  </cols>
  <sheetData>
    <row r="1" spans="2:8" ht="18" hidden="1" x14ac:dyDescent="0.35">
      <c r="H1" s="330" t="s">
        <v>462</v>
      </c>
    </row>
    <row r="2" spans="2:8" hidden="1" x14ac:dyDescent="0.3">
      <c r="H2" s="341" t="s">
        <v>343</v>
      </c>
    </row>
    <row r="3" spans="2:8" hidden="1" x14ac:dyDescent="0.3">
      <c r="H3" s="341" t="s">
        <v>344</v>
      </c>
    </row>
    <row r="4" spans="2:8" hidden="1" x14ac:dyDescent="0.3">
      <c r="H4" s="341" t="s">
        <v>345</v>
      </c>
    </row>
    <row r="5" spans="2:8" hidden="1" x14ac:dyDescent="0.3">
      <c r="H5" s="341" t="s">
        <v>346</v>
      </c>
    </row>
    <row r="6" spans="2:8" ht="18" hidden="1" x14ac:dyDescent="0.35">
      <c r="G6" s="340" t="s">
        <v>486</v>
      </c>
    </row>
    <row r="7" spans="2:8" hidden="1" x14ac:dyDescent="0.3"/>
    <row r="8" spans="2:8" hidden="1" x14ac:dyDescent="0.3"/>
    <row r="9" spans="2:8" hidden="1" x14ac:dyDescent="0.3"/>
    <row r="10" spans="2:8" hidden="1" x14ac:dyDescent="0.3"/>
    <row r="13" spans="2:8" ht="17.399999999999999" x14ac:dyDescent="0.3">
      <c r="B13" s="355" t="s">
        <v>0</v>
      </c>
      <c r="C13" s="355"/>
      <c r="D13" s="355"/>
      <c r="E13" s="357"/>
      <c r="F13" s="357"/>
      <c r="G13" s="357"/>
      <c r="H13" s="357"/>
    </row>
    <row r="14" spans="2:8" ht="30.75" customHeight="1" x14ac:dyDescent="0.3">
      <c r="B14" s="356" t="s">
        <v>487</v>
      </c>
      <c r="C14" s="356"/>
      <c r="D14" s="356"/>
      <c r="E14" s="358"/>
      <c r="F14" s="358"/>
      <c r="G14" s="358"/>
      <c r="H14" s="358"/>
    </row>
    <row r="15" spans="2:8" ht="23.25" customHeight="1" x14ac:dyDescent="0.3">
      <c r="H15" s="89" t="s">
        <v>488</v>
      </c>
    </row>
    <row r="16" spans="2:8" ht="85.8" customHeight="1" x14ac:dyDescent="0.3">
      <c r="B16" s="15" t="s">
        <v>1</v>
      </c>
      <c r="C16" s="15" t="s">
        <v>2</v>
      </c>
      <c r="D16" s="15" t="s">
        <v>158</v>
      </c>
      <c r="E16" s="15" t="s">
        <v>489</v>
      </c>
      <c r="F16" s="15" t="s">
        <v>490</v>
      </c>
      <c r="G16" s="15" t="s">
        <v>491</v>
      </c>
      <c r="H16" s="15" t="s">
        <v>492</v>
      </c>
    </row>
    <row r="17" spans="2:8" x14ac:dyDescent="0.3">
      <c r="B17" s="15">
        <v>1</v>
      </c>
      <c r="C17" s="15">
        <v>2</v>
      </c>
      <c r="D17" s="15">
        <v>3</v>
      </c>
      <c r="E17" s="15">
        <v>4</v>
      </c>
      <c r="F17" s="15">
        <v>5</v>
      </c>
      <c r="G17" s="15">
        <v>6</v>
      </c>
      <c r="H17" s="15">
        <v>7</v>
      </c>
    </row>
    <row r="18" spans="2:8" ht="33.75" customHeight="1" x14ac:dyDescent="0.3">
      <c r="B18" s="15" t="s">
        <v>159</v>
      </c>
      <c r="C18" s="150" t="s">
        <v>165</v>
      </c>
      <c r="D18" s="16" t="s">
        <v>166</v>
      </c>
      <c r="E18" s="151">
        <v>53.65</v>
      </c>
      <c r="F18" s="151">
        <f>E18/100*20</f>
        <v>10.73</v>
      </c>
      <c r="G18" s="151">
        <f>E18+F18</f>
        <v>64.38</v>
      </c>
      <c r="H18" s="151">
        <f>G18+2</f>
        <v>66.38</v>
      </c>
    </row>
    <row r="19" spans="2:8" ht="31.2" x14ac:dyDescent="0.3">
      <c r="B19" s="15" t="s">
        <v>167</v>
      </c>
      <c r="C19" s="150" t="s">
        <v>160</v>
      </c>
      <c r="D19" s="16" t="s">
        <v>161</v>
      </c>
      <c r="E19" s="151">
        <v>23.95</v>
      </c>
      <c r="F19" s="151">
        <f>E19/100*20</f>
        <v>4.79</v>
      </c>
      <c r="G19" s="151">
        <f>E19+F19</f>
        <v>28.74</v>
      </c>
      <c r="H19" s="151">
        <f t="shared" ref="H19:H22" si="0">G19+2</f>
        <v>30.74</v>
      </c>
    </row>
    <row r="20" spans="2:8" ht="31.2" x14ac:dyDescent="0.3">
      <c r="B20" s="15" t="s">
        <v>168</v>
      </c>
      <c r="C20" s="150" t="s">
        <v>162</v>
      </c>
      <c r="D20" s="16" t="s">
        <v>161</v>
      </c>
      <c r="E20" s="151">
        <v>19.16</v>
      </c>
      <c r="F20" s="151">
        <f>E20/100*20</f>
        <v>3.8319999999999999</v>
      </c>
      <c r="G20" s="151">
        <f>E20+F20</f>
        <v>22.992000000000001</v>
      </c>
      <c r="H20" s="151">
        <f t="shared" si="0"/>
        <v>24.992000000000001</v>
      </c>
    </row>
    <row r="21" spans="2:8" ht="31.2" x14ac:dyDescent="0.3">
      <c r="B21" s="15" t="s">
        <v>169</v>
      </c>
      <c r="C21" s="150" t="s">
        <v>163</v>
      </c>
      <c r="D21" s="16" t="s">
        <v>161</v>
      </c>
      <c r="E21" s="151">
        <v>17.239999999999998</v>
      </c>
      <c r="F21" s="151">
        <f>E21/100*20</f>
        <v>3.448</v>
      </c>
      <c r="G21" s="151">
        <f>E21+F21</f>
        <v>20.687999999999999</v>
      </c>
      <c r="H21" s="151">
        <f t="shared" si="0"/>
        <v>22.687999999999999</v>
      </c>
    </row>
    <row r="22" spans="2:8" ht="27" x14ac:dyDescent="0.3">
      <c r="B22" s="15" t="s">
        <v>170</v>
      </c>
      <c r="C22" s="150" t="s">
        <v>164</v>
      </c>
      <c r="D22" s="16" t="s">
        <v>161</v>
      </c>
      <c r="E22" s="151">
        <v>6.71</v>
      </c>
      <c r="F22" s="151">
        <f>E22/100*20</f>
        <v>1.3419999999999999</v>
      </c>
      <c r="G22" s="151">
        <f>E22+F22</f>
        <v>8.0519999999999996</v>
      </c>
      <c r="H22" s="151">
        <f t="shared" si="0"/>
        <v>10.052</v>
      </c>
    </row>
    <row r="24" spans="2:8" ht="18" hidden="1" x14ac:dyDescent="0.35">
      <c r="C24" s="271" t="s">
        <v>409</v>
      </c>
      <c r="D24" s="273"/>
      <c r="E24" s="274"/>
      <c r="G24" s="271" t="s">
        <v>410</v>
      </c>
    </row>
  </sheetData>
  <mergeCells count="2">
    <mergeCell ref="B13:H13"/>
    <mergeCell ref="B14:H14"/>
  </mergeCells>
  <pageMargins left="0.7" right="0.7" top="0.75" bottom="0.75" header="0.3" footer="0.3"/>
  <pageSetup paperSize="9" scale="89" fitToHeight="0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topLeftCell="B7" zoomScaleNormal="100" workbookViewId="0">
      <selection activeCell="B20" sqref="B20"/>
    </sheetView>
  </sheetViews>
  <sheetFormatPr defaultRowHeight="15.6" x14ac:dyDescent="0.3"/>
  <cols>
    <col min="1" max="1" width="4.109375" style="6" customWidth="1"/>
    <col min="2" max="2" width="31.6640625" style="5" customWidth="1"/>
    <col min="3" max="3" width="11.44140625" style="5" customWidth="1"/>
    <col min="4" max="4" width="9.88671875" style="5" customWidth="1"/>
    <col min="5" max="5" width="9.109375" style="5" customWidth="1"/>
    <col min="6" max="6" width="12.88671875" style="5" customWidth="1"/>
    <col min="7" max="7" width="14.6640625" style="5" customWidth="1"/>
  </cols>
  <sheetData>
    <row r="1" spans="1:7" ht="18" hidden="1" x14ac:dyDescent="0.35">
      <c r="G1" s="330" t="s">
        <v>471</v>
      </c>
    </row>
    <row r="2" spans="1:7" hidden="1" x14ac:dyDescent="0.3">
      <c r="G2" s="341" t="s">
        <v>343</v>
      </c>
    </row>
    <row r="3" spans="1:7" hidden="1" x14ac:dyDescent="0.3">
      <c r="G3" s="341" t="s">
        <v>344</v>
      </c>
    </row>
    <row r="4" spans="1:7" hidden="1" x14ac:dyDescent="0.3">
      <c r="G4" s="341" t="s">
        <v>345</v>
      </c>
    </row>
    <row r="5" spans="1:7" hidden="1" x14ac:dyDescent="0.3">
      <c r="G5" s="341" t="s">
        <v>346</v>
      </c>
    </row>
    <row r="6" spans="1:7" ht="18" hidden="1" x14ac:dyDescent="0.35">
      <c r="F6" s="340" t="s">
        <v>486</v>
      </c>
    </row>
    <row r="13" spans="1:7" ht="17.399999999999999" x14ac:dyDescent="0.3">
      <c r="A13" s="355" t="s">
        <v>0</v>
      </c>
      <c r="B13" s="355"/>
      <c r="C13" s="355"/>
      <c r="D13" s="357"/>
      <c r="E13" s="357"/>
      <c r="F13" s="357"/>
      <c r="G13" s="357"/>
    </row>
    <row r="14" spans="1:7" ht="34.200000000000003" customHeight="1" x14ac:dyDescent="0.3">
      <c r="A14" s="356" t="s">
        <v>171</v>
      </c>
      <c r="B14" s="356"/>
      <c r="C14" s="356"/>
      <c r="D14" s="358"/>
      <c r="E14" s="358"/>
      <c r="F14" s="358"/>
      <c r="G14" s="358"/>
    </row>
    <row r="15" spans="1:7" ht="34.200000000000003" customHeight="1" x14ac:dyDescent="0.3">
      <c r="A15" s="338"/>
      <c r="B15" s="338"/>
      <c r="C15" s="338"/>
      <c r="D15" s="339"/>
      <c r="E15" s="339"/>
      <c r="F15" s="339"/>
      <c r="G15" s="89" t="s">
        <v>488</v>
      </c>
    </row>
    <row r="16" spans="1:7" ht="94.2" customHeight="1" x14ac:dyDescent="0.3">
      <c r="A16" s="15" t="s">
        <v>1</v>
      </c>
      <c r="B16" s="15" t="s">
        <v>2</v>
      </c>
      <c r="C16" s="15" t="s">
        <v>158</v>
      </c>
      <c r="D16" s="15" t="s">
        <v>489</v>
      </c>
      <c r="E16" s="15" t="s">
        <v>490</v>
      </c>
      <c r="F16" s="15" t="s">
        <v>491</v>
      </c>
      <c r="G16" s="15" t="s">
        <v>492</v>
      </c>
    </row>
    <row r="17" spans="1:7" x14ac:dyDescent="0.3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</row>
    <row r="18" spans="1:7" ht="31.2" x14ac:dyDescent="0.3">
      <c r="A18" s="15" t="s">
        <v>159</v>
      </c>
      <c r="B18" s="150" t="s">
        <v>165</v>
      </c>
      <c r="C18" s="16" t="s">
        <v>166</v>
      </c>
      <c r="D18" s="151">
        <v>67.06</v>
      </c>
      <c r="E18" s="151">
        <f>D18/100*20</f>
        <v>13.411999999999999</v>
      </c>
      <c r="F18" s="151">
        <f>D18+E18</f>
        <v>80.472000000000008</v>
      </c>
      <c r="G18" s="151">
        <f>F18+2</f>
        <v>82.472000000000008</v>
      </c>
    </row>
    <row r="19" spans="1:7" ht="31.2" x14ac:dyDescent="0.3">
      <c r="A19" s="15" t="s">
        <v>167</v>
      </c>
      <c r="B19" s="150" t="s">
        <v>160</v>
      </c>
      <c r="C19" s="16" t="s">
        <v>161</v>
      </c>
      <c r="D19" s="151">
        <v>29.93</v>
      </c>
      <c r="E19" s="151">
        <f>D19/100*20</f>
        <v>5.9860000000000007</v>
      </c>
      <c r="F19" s="151">
        <f>D19+E19</f>
        <v>35.915999999999997</v>
      </c>
      <c r="G19" s="151">
        <f t="shared" ref="G19:G22" si="0">F19+2</f>
        <v>37.915999999999997</v>
      </c>
    </row>
    <row r="20" spans="1:7" ht="31.2" x14ac:dyDescent="0.3">
      <c r="A20" s="15" t="s">
        <v>168</v>
      </c>
      <c r="B20" s="150" t="s">
        <v>162</v>
      </c>
      <c r="C20" s="16" t="s">
        <v>161</v>
      </c>
      <c r="D20" s="151">
        <v>23.95</v>
      </c>
      <c r="E20" s="151">
        <f>D20/100*20</f>
        <v>4.79</v>
      </c>
      <c r="F20" s="151">
        <f>D20+E20</f>
        <v>28.74</v>
      </c>
      <c r="G20" s="151">
        <f t="shared" si="0"/>
        <v>30.74</v>
      </c>
    </row>
    <row r="21" spans="1:7" ht="31.2" x14ac:dyDescent="0.3">
      <c r="A21" s="15" t="s">
        <v>169</v>
      </c>
      <c r="B21" s="150" t="s">
        <v>163</v>
      </c>
      <c r="C21" s="16" t="s">
        <v>161</v>
      </c>
      <c r="D21" s="151">
        <v>21.56</v>
      </c>
      <c r="E21" s="151">
        <f>D21/100*20</f>
        <v>4.3119999999999994</v>
      </c>
      <c r="F21" s="151">
        <f>D21+E21</f>
        <v>25.872</v>
      </c>
      <c r="G21" s="151">
        <f t="shared" si="0"/>
        <v>27.872</v>
      </c>
    </row>
    <row r="22" spans="1:7" ht="27" x14ac:dyDescent="0.3">
      <c r="A22" s="15" t="s">
        <v>170</v>
      </c>
      <c r="B22" s="150" t="s">
        <v>164</v>
      </c>
      <c r="C22" s="16" t="s">
        <v>161</v>
      </c>
      <c r="D22" s="151">
        <v>8.3800000000000008</v>
      </c>
      <c r="E22" s="151">
        <f>D22/100*20</f>
        <v>1.6760000000000002</v>
      </c>
      <c r="F22" s="151">
        <f>D22+E22</f>
        <v>10.056000000000001</v>
      </c>
      <c r="G22" s="151">
        <f t="shared" si="0"/>
        <v>12.056000000000001</v>
      </c>
    </row>
    <row r="23" spans="1:7" x14ac:dyDescent="0.3">
      <c r="B23" s="17"/>
      <c r="C23" s="6"/>
    </row>
    <row r="24" spans="1:7" ht="18" hidden="1" x14ac:dyDescent="0.35">
      <c r="B24" s="271" t="s">
        <v>409</v>
      </c>
      <c r="C24" s="273"/>
      <c r="D24" s="274"/>
      <c r="F24" s="271" t="s">
        <v>410</v>
      </c>
    </row>
  </sheetData>
  <mergeCells count="2">
    <mergeCell ref="A13:G13"/>
    <mergeCell ref="A14:G14"/>
  </mergeCells>
  <pageMargins left="0.7" right="0.7" top="0.75" bottom="0.75" header="0.3" footer="0.3"/>
  <pageSetup paperSize="9" scale="93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view="pageBreakPreview" topLeftCell="A7" zoomScale="125" zoomScaleNormal="100" zoomScaleSheetLayoutView="85" workbookViewId="0">
      <selection activeCell="I84" sqref="I84"/>
    </sheetView>
  </sheetViews>
  <sheetFormatPr defaultColWidth="9.109375" defaultRowHeight="15" x14ac:dyDescent="0.25"/>
  <cols>
    <col min="1" max="1" width="4.109375" style="86" customWidth="1"/>
    <col min="2" max="2" width="39" style="107" customWidth="1"/>
    <col min="3" max="3" width="9.109375" style="114" customWidth="1"/>
    <col min="4" max="4" width="8.6640625" style="111" hidden="1" customWidth="1"/>
    <col min="5" max="5" width="9.109375" style="111" hidden="1" customWidth="1"/>
    <col min="6" max="6" width="9.6640625" style="111" hidden="1" customWidth="1"/>
    <col min="7" max="7" width="8.5546875" style="111" customWidth="1"/>
    <col min="8" max="8" width="8" style="111" customWidth="1"/>
    <col min="9" max="9" width="10.109375" style="111" customWidth="1"/>
    <col min="10" max="10" width="9.109375" style="86"/>
    <col min="11" max="19" width="0" style="86" hidden="1" customWidth="1"/>
    <col min="20" max="16384" width="9.109375" style="86"/>
  </cols>
  <sheetData>
    <row r="1" spans="1:10" ht="18" hidden="1" x14ac:dyDescent="0.35">
      <c r="D1" s="272"/>
      <c r="E1" s="272"/>
      <c r="F1" s="272"/>
      <c r="G1" s="272"/>
      <c r="H1" s="272"/>
      <c r="I1" s="360" t="s">
        <v>357</v>
      </c>
      <c r="J1" s="360"/>
    </row>
    <row r="2" spans="1:10" ht="18" hidden="1" x14ac:dyDescent="0.35">
      <c r="A2" s="115"/>
      <c r="B2" s="255"/>
      <c r="C2" s="116"/>
      <c r="D2" s="122"/>
      <c r="E2" s="122"/>
      <c r="F2" s="122"/>
      <c r="G2" s="122"/>
      <c r="H2" s="122"/>
      <c r="J2" s="118" t="s">
        <v>343</v>
      </c>
    </row>
    <row r="3" spans="1:10" ht="18" hidden="1" x14ac:dyDescent="0.35">
      <c r="A3" s="115"/>
      <c r="B3" s="255"/>
      <c r="C3" s="116"/>
      <c r="D3" s="122"/>
      <c r="E3" s="122"/>
      <c r="F3" s="122"/>
      <c r="G3" s="122"/>
      <c r="H3" s="122"/>
      <c r="J3" s="118" t="s">
        <v>344</v>
      </c>
    </row>
    <row r="4" spans="1:10" ht="18" hidden="1" x14ac:dyDescent="0.35">
      <c r="A4" s="115"/>
      <c r="B4" s="255"/>
      <c r="C4" s="116"/>
      <c r="D4" s="122"/>
      <c r="E4" s="122"/>
      <c r="F4" s="122"/>
      <c r="G4" s="122"/>
      <c r="H4" s="122"/>
      <c r="J4" s="118" t="s">
        <v>345</v>
      </c>
    </row>
    <row r="5" spans="1:10" ht="18" hidden="1" x14ac:dyDescent="0.35">
      <c r="A5" s="115"/>
      <c r="B5" s="255"/>
      <c r="C5" s="145"/>
      <c r="D5" s="122"/>
      <c r="E5" s="122"/>
      <c r="F5" s="122"/>
      <c r="G5" s="122"/>
      <c r="H5" s="122"/>
      <c r="J5" s="118" t="s">
        <v>346</v>
      </c>
    </row>
    <row r="6" spans="1:10" ht="18" hidden="1" x14ac:dyDescent="0.35">
      <c r="A6" s="115"/>
      <c r="B6" s="255"/>
      <c r="C6" s="128"/>
      <c r="D6" s="122"/>
      <c r="E6" s="122"/>
      <c r="G6" s="113"/>
      <c r="I6" s="118" t="s">
        <v>406</v>
      </c>
    </row>
    <row r="7" spans="1:10" x14ac:dyDescent="0.25">
      <c r="A7" s="146"/>
      <c r="B7" s="87"/>
      <c r="C7" s="85"/>
      <c r="D7" s="88"/>
      <c r="E7" s="88"/>
      <c r="F7" s="88"/>
      <c r="G7" s="88"/>
      <c r="H7" s="88"/>
      <c r="I7" s="88"/>
    </row>
    <row r="8" spans="1:10" ht="17.399999999999999" customHeight="1" x14ac:dyDescent="0.3">
      <c r="A8" s="361" t="s">
        <v>0</v>
      </c>
      <c r="B8" s="361"/>
      <c r="C8" s="361"/>
      <c r="D8" s="361"/>
      <c r="E8" s="361"/>
      <c r="F8" s="361"/>
      <c r="G8" s="361"/>
      <c r="H8" s="361"/>
      <c r="I8" s="361"/>
      <c r="J8" s="361"/>
    </row>
    <row r="9" spans="1:10" ht="28.8" customHeight="1" x14ac:dyDescent="0.25">
      <c r="A9" s="362" t="s">
        <v>348</v>
      </c>
      <c r="B9" s="362"/>
      <c r="C9" s="362"/>
      <c r="D9" s="362"/>
      <c r="E9" s="362"/>
      <c r="F9" s="362"/>
      <c r="G9" s="362"/>
      <c r="H9" s="362"/>
      <c r="I9" s="362"/>
      <c r="J9" s="362"/>
    </row>
    <row r="10" spans="1:10" hidden="1" x14ac:dyDescent="0.25">
      <c r="A10" s="363"/>
      <c r="B10" s="363"/>
      <c r="C10" s="363"/>
      <c r="D10" s="87"/>
      <c r="E10" s="87"/>
      <c r="F10" s="87"/>
      <c r="G10" s="87"/>
      <c r="H10" s="87"/>
      <c r="I10" s="87"/>
    </row>
    <row r="11" spans="1:10" ht="1.8" customHeight="1" x14ac:dyDescent="0.25">
      <c r="A11" s="363"/>
      <c r="B11" s="363"/>
      <c r="C11" s="363"/>
      <c r="D11" s="88"/>
      <c r="E11" s="88"/>
      <c r="F11" s="88"/>
      <c r="G11" s="88"/>
      <c r="H11" s="88"/>
      <c r="I11" s="88"/>
    </row>
    <row r="12" spans="1:10" ht="15.6" x14ac:dyDescent="0.3">
      <c r="A12" s="123"/>
      <c r="B12" s="124"/>
      <c r="C12" s="116"/>
      <c r="D12" s="117"/>
      <c r="E12" s="117"/>
      <c r="F12" s="117"/>
      <c r="G12" s="117"/>
      <c r="H12" s="117"/>
      <c r="I12" s="125"/>
      <c r="J12" s="125" t="s">
        <v>407</v>
      </c>
    </row>
    <row r="13" spans="1:10" s="90" customFormat="1" ht="33" customHeight="1" x14ac:dyDescent="0.2">
      <c r="A13" s="364" t="s">
        <v>1</v>
      </c>
      <c r="B13" s="364" t="s">
        <v>2</v>
      </c>
      <c r="C13" s="364" t="s">
        <v>3</v>
      </c>
      <c r="D13" s="359" t="s">
        <v>172</v>
      </c>
      <c r="E13" s="359" t="s">
        <v>173</v>
      </c>
      <c r="F13" s="368" t="s">
        <v>4</v>
      </c>
      <c r="G13" s="359" t="s">
        <v>176</v>
      </c>
      <c r="H13" s="359" t="s">
        <v>355</v>
      </c>
      <c r="I13" s="359" t="s">
        <v>177</v>
      </c>
      <c r="J13" s="359" t="s">
        <v>356</v>
      </c>
    </row>
    <row r="14" spans="1:10" s="90" customFormat="1" ht="24" customHeight="1" x14ac:dyDescent="0.2">
      <c r="A14" s="365"/>
      <c r="B14" s="364"/>
      <c r="C14" s="364"/>
      <c r="D14" s="366"/>
      <c r="E14" s="359"/>
      <c r="F14" s="368"/>
      <c r="G14" s="366"/>
      <c r="H14" s="359"/>
      <c r="I14" s="359"/>
      <c r="J14" s="359"/>
    </row>
    <row r="15" spans="1:10" s="90" customFormat="1" ht="11.25" hidden="1" customHeight="1" x14ac:dyDescent="0.2">
      <c r="A15" s="254"/>
      <c r="B15" s="253"/>
      <c r="C15" s="253"/>
      <c r="D15" s="367" t="s">
        <v>174</v>
      </c>
      <c r="E15" s="367"/>
      <c r="F15" s="367"/>
      <c r="G15" s="367" t="s">
        <v>175</v>
      </c>
      <c r="H15" s="367"/>
      <c r="I15" s="367"/>
    </row>
    <row r="16" spans="1:10" s="91" customFormat="1" ht="15.6" x14ac:dyDescent="0.3">
      <c r="A16" s="129">
        <v>1</v>
      </c>
      <c r="B16" s="129">
        <v>2</v>
      </c>
      <c r="C16" s="129">
        <v>3</v>
      </c>
      <c r="D16" s="129">
        <v>4</v>
      </c>
      <c r="E16" s="129">
        <v>5</v>
      </c>
      <c r="F16" s="129">
        <v>6</v>
      </c>
      <c r="G16" s="129">
        <v>4</v>
      </c>
      <c r="H16" s="129">
        <v>5</v>
      </c>
      <c r="I16" s="129">
        <v>6</v>
      </c>
      <c r="J16" s="129">
        <v>7</v>
      </c>
    </row>
    <row r="17" spans="1:15" s="91" customFormat="1" ht="15.6" x14ac:dyDescent="0.2">
      <c r="A17" s="92">
        <v>1</v>
      </c>
      <c r="B17" s="93" t="s">
        <v>5</v>
      </c>
      <c r="C17" s="147" t="s">
        <v>6</v>
      </c>
      <c r="D17" s="95">
        <v>25846.489999999998</v>
      </c>
      <c r="E17" s="95">
        <v>112.77</v>
      </c>
      <c r="F17" s="95">
        <v>25959.26</v>
      </c>
      <c r="G17" s="157">
        <v>2.58</v>
      </c>
      <c r="H17" s="157">
        <v>0.01</v>
      </c>
      <c r="I17" s="157">
        <f>G17+H17</f>
        <v>2.59</v>
      </c>
      <c r="J17" s="95">
        <v>25900</v>
      </c>
      <c r="K17" s="91">
        <f>I17/J17*100</f>
        <v>9.9999999999999985E-3</v>
      </c>
    </row>
    <row r="18" spans="1:15" s="91" customFormat="1" ht="31.2" x14ac:dyDescent="0.2">
      <c r="A18" s="92">
        <v>2</v>
      </c>
      <c r="B18" s="93" t="s">
        <v>7</v>
      </c>
      <c r="C18" s="148" t="s">
        <v>8</v>
      </c>
      <c r="D18" s="95">
        <v>38769.735000000001</v>
      </c>
      <c r="E18" s="95">
        <v>511.35199999999992</v>
      </c>
      <c r="F18" s="95">
        <v>39281.087</v>
      </c>
      <c r="G18" s="157">
        <v>3.88</v>
      </c>
      <c r="H18" s="157">
        <v>0.05</v>
      </c>
      <c r="I18" s="157">
        <f>G18+H18</f>
        <v>3.9299999999999997</v>
      </c>
      <c r="J18" s="95">
        <v>39300</v>
      </c>
      <c r="K18" s="91">
        <f t="shared" ref="K18:K35" si="0">I18/J18*100</f>
        <v>9.9999999999999985E-3</v>
      </c>
      <c r="O18" s="91">
        <f>I17/10000</f>
        <v>2.5900000000000001E-4</v>
      </c>
    </row>
    <row r="19" spans="1:15" s="91" customFormat="1" ht="15.6" x14ac:dyDescent="0.25">
      <c r="A19" s="97"/>
      <c r="B19" s="369" t="s">
        <v>9</v>
      </c>
      <c r="C19" s="370"/>
      <c r="D19" s="370"/>
      <c r="E19" s="370"/>
      <c r="F19" s="370"/>
      <c r="G19" s="370"/>
      <c r="H19" s="370"/>
      <c r="I19" s="370"/>
      <c r="J19" s="372"/>
    </row>
    <row r="20" spans="1:15" s="91" customFormat="1" ht="31.2" x14ac:dyDescent="0.2">
      <c r="A20" s="98">
        <v>3</v>
      </c>
      <c r="B20" s="99" t="s">
        <v>11</v>
      </c>
      <c r="C20" s="94" t="s">
        <v>10</v>
      </c>
      <c r="D20" s="95">
        <f>'[1]кальк. физ.'!T13</f>
        <v>16155.516284973099</v>
      </c>
      <c r="E20" s="95">
        <f>[1]материалы!K33</f>
        <v>294.95047058823531</v>
      </c>
      <c r="F20" s="95">
        <f t="shared" ref="F20:F35" si="1">D20+E20</f>
        <v>16450.466755561334</v>
      </c>
      <c r="G20" s="157">
        <v>1.62</v>
      </c>
      <c r="H20" s="157">
        <v>0.03</v>
      </c>
      <c r="I20" s="157">
        <f>G20+H20</f>
        <v>1.6500000000000001</v>
      </c>
      <c r="J20" s="95">
        <v>16500</v>
      </c>
      <c r="K20" s="91">
        <f t="shared" si="0"/>
        <v>0.01</v>
      </c>
    </row>
    <row r="21" spans="1:15" s="91" customFormat="1" ht="15.6" x14ac:dyDescent="0.2">
      <c r="A21" s="98">
        <v>4</v>
      </c>
      <c r="B21" s="99" t="s">
        <v>12</v>
      </c>
      <c r="C21" s="94" t="s">
        <v>10</v>
      </c>
      <c r="D21" s="95">
        <f>'[1]кальк. физ.'!T15</f>
        <v>21540.688379964133</v>
      </c>
      <c r="E21" s="95">
        <f>[1]материалы!K39</f>
        <v>294.95047058823531</v>
      </c>
      <c r="F21" s="95">
        <f t="shared" si="1"/>
        <v>21835.638850552368</v>
      </c>
      <c r="G21" s="157">
        <v>2.15</v>
      </c>
      <c r="H21" s="157">
        <v>0.03</v>
      </c>
      <c r="I21" s="157">
        <f t="shared" ref="I21:I43" si="2">G21+H21</f>
        <v>2.1799999999999997</v>
      </c>
      <c r="J21" s="95">
        <v>21800</v>
      </c>
      <c r="K21" s="91">
        <f t="shared" si="0"/>
        <v>9.9999999999999985E-3</v>
      </c>
    </row>
    <row r="22" spans="1:15" s="91" customFormat="1" ht="15.6" x14ac:dyDescent="0.2">
      <c r="A22" s="98">
        <v>5</v>
      </c>
      <c r="B22" s="99" t="s">
        <v>13</v>
      </c>
      <c r="C22" s="94" t="s">
        <v>10</v>
      </c>
      <c r="D22" s="95">
        <f>'[1]кальк. физ.'!T18</f>
        <v>21540.688379964133</v>
      </c>
      <c r="E22" s="95">
        <f>[1]материалы!K45</f>
        <v>328.4733333333333</v>
      </c>
      <c r="F22" s="95">
        <f t="shared" si="1"/>
        <v>21869.161713297464</v>
      </c>
      <c r="G22" s="157">
        <v>2.15</v>
      </c>
      <c r="H22" s="157">
        <v>0.03</v>
      </c>
      <c r="I22" s="157">
        <f t="shared" si="2"/>
        <v>2.1799999999999997</v>
      </c>
      <c r="J22" s="95">
        <v>21800</v>
      </c>
      <c r="K22" s="91">
        <f t="shared" si="0"/>
        <v>9.9999999999999985E-3</v>
      </c>
    </row>
    <row r="23" spans="1:15" s="91" customFormat="1" ht="15.6" x14ac:dyDescent="0.2">
      <c r="A23" s="98">
        <v>6</v>
      </c>
      <c r="B23" s="99" t="s">
        <v>14</v>
      </c>
      <c r="C23" s="94" t="s">
        <v>10</v>
      </c>
      <c r="D23" s="95">
        <f>'[1]кальк. физ.'!T19</f>
        <v>10770.344189982066</v>
      </c>
      <c r="E23" s="95">
        <f>[1]материалы!K51</f>
        <v>329.3664705882353</v>
      </c>
      <c r="F23" s="95">
        <f t="shared" si="1"/>
        <v>11099.710660570301</v>
      </c>
      <c r="G23" s="157">
        <v>1.08</v>
      </c>
      <c r="H23" s="157">
        <v>0.03</v>
      </c>
      <c r="I23" s="157">
        <f t="shared" si="2"/>
        <v>1.1100000000000001</v>
      </c>
      <c r="J23" s="95">
        <v>11100</v>
      </c>
      <c r="K23" s="91">
        <f t="shared" si="0"/>
        <v>0.01</v>
      </c>
    </row>
    <row r="24" spans="1:15" s="91" customFormat="1" ht="15.6" x14ac:dyDescent="0.3">
      <c r="A24" s="98"/>
      <c r="B24" s="373" t="s">
        <v>15</v>
      </c>
      <c r="C24" s="374"/>
      <c r="D24" s="374"/>
      <c r="E24" s="374"/>
      <c r="F24" s="374"/>
      <c r="G24" s="374"/>
      <c r="H24" s="374"/>
      <c r="I24" s="374"/>
      <c r="J24" s="371"/>
    </row>
    <row r="25" spans="1:15" s="91" customFormat="1" ht="15.6" x14ac:dyDescent="0.2">
      <c r="A25" s="98">
        <v>7</v>
      </c>
      <c r="B25" s="99" t="s">
        <v>16</v>
      </c>
      <c r="C25" s="94" t="s">
        <v>10</v>
      </c>
      <c r="D25" s="95">
        <f>'[1]кальк. физ.'!T22</f>
        <v>10770.344189982066</v>
      </c>
      <c r="E25" s="95">
        <f>[1]материалы!K58</f>
        <v>218.774</v>
      </c>
      <c r="F25" s="95">
        <f t="shared" si="1"/>
        <v>10989.118189982066</v>
      </c>
      <c r="G25" s="157">
        <v>1.08</v>
      </c>
      <c r="H25" s="157">
        <v>0.02</v>
      </c>
      <c r="I25" s="157">
        <f t="shared" si="2"/>
        <v>1.1000000000000001</v>
      </c>
      <c r="J25" s="95">
        <v>11000</v>
      </c>
      <c r="K25" s="91">
        <f t="shared" si="0"/>
        <v>0.01</v>
      </c>
    </row>
    <row r="26" spans="1:15" s="91" customFormat="1" ht="31.2" x14ac:dyDescent="0.2">
      <c r="A26" s="98">
        <v>8</v>
      </c>
      <c r="B26" s="99" t="s">
        <v>17</v>
      </c>
      <c r="C26" s="94" t="s">
        <v>10</v>
      </c>
      <c r="D26" s="95">
        <f>'[1]кальк. физ.'!T23</f>
        <v>10770.344189982066</v>
      </c>
      <c r="E26" s="95">
        <f>[1]материалы!K63</f>
        <v>218.774</v>
      </c>
      <c r="F26" s="95">
        <f t="shared" si="1"/>
        <v>10989.118189982066</v>
      </c>
      <c r="G26" s="157">
        <v>1.08</v>
      </c>
      <c r="H26" s="157">
        <v>0.02</v>
      </c>
      <c r="I26" s="157">
        <f t="shared" si="2"/>
        <v>1.1000000000000001</v>
      </c>
      <c r="J26" s="95">
        <v>11000</v>
      </c>
      <c r="K26" s="91">
        <f t="shared" si="0"/>
        <v>0.01</v>
      </c>
    </row>
    <row r="27" spans="1:15" s="91" customFormat="1" ht="31.2" x14ac:dyDescent="0.2">
      <c r="A27" s="98">
        <v>9</v>
      </c>
      <c r="B27" s="99" t="s">
        <v>18</v>
      </c>
      <c r="C27" s="94" t="s">
        <v>10</v>
      </c>
      <c r="D27" s="95">
        <f>'[1]кальк. физ.'!T24</f>
        <v>10770.344189982066</v>
      </c>
      <c r="E27" s="95">
        <f>[1]материалы!K68</f>
        <v>218.774</v>
      </c>
      <c r="F27" s="95">
        <f t="shared" si="1"/>
        <v>10989.118189982066</v>
      </c>
      <c r="G27" s="157">
        <v>1.08</v>
      </c>
      <c r="H27" s="157">
        <v>0.02</v>
      </c>
      <c r="I27" s="157">
        <f t="shared" si="2"/>
        <v>1.1000000000000001</v>
      </c>
      <c r="J27" s="95">
        <v>11000</v>
      </c>
      <c r="K27" s="91">
        <f t="shared" si="0"/>
        <v>0.01</v>
      </c>
    </row>
    <row r="28" spans="1:15" s="91" customFormat="1" ht="15.6" x14ac:dyDescent="0.2">
      <c r="A28" s="100"/>
      <c r="B28" s="369" t="s">
        <v>19</v>
      </c>
      <c r="C28" s="370"/>
      <c r="D28" s="370"/>
      <c r="E28" s="370"/>
      <c r="F28" s="370"/>
      <c r="G28" s="370"/>
      <c r="H28" s="370"/>
      <c r="I28" s="370"/>
      <c r="J28" s="372"/>
    </row>
    <row r="29" spans="1:15" s="91" customFormat="1" ht="15.6" x14ac:dyDescent="0.2">
      <c r="A29" s="98">
        <v>10</v>
      </c>
      <c r="B29" s="99" t="s">
        <v>20</v>
      </c>
      <c r="C29" s="94" t="s">
        <v>10</v>
      </c>
      <c r="D29" s="95">
        <f>'[1]кальк. физ.'!T27</f>
        <v>21540.688379964133</v>
      </c>
      <c r="E29" s="95">
        <f>[1]материалы!K74</f>
        <v>811.1253333333334</v>
      </c>
      <c r="F29" s="95">
        <f t="shared" si="1"/>
        <v>22351.813713297466</v>
      </c>
      <c r="G29" s="157">
        <v>2.15</v>
      </c>
      <c r="H29" s="157">
        <v>0.08</v>
      </c>
      <c r="I29" s="157">
        <f t="shared" si="2"/>
        <v>2.23</v>
      </c>
      <c r="J29" s="95">
        <v>22300</v>
      </c>
      <c r="K29" s="91">
        <f t="shared" si="0"/>
        <v>0.01</v>
      </c>
    </row>
    <row r="30" spans="1:15" s="91" customFormat="1" ht="15.6" x14ac:dyDescent="0.2">
      <c r="A30" s="98">
        <v>11</v>
      </c>
      <c r="B30" s="99" t="s">
        <v>21</v>
      </c>
      <c r="C30" s="94" t="s">
        <v>10</v>
      </c>
      <c r="D30" s="95">
        <f>'[1]кальк. физ.'!T28</f>
        <v>21540.688379964133</v>
      </c>
      <c r="E30" s="95">
        <f>[1]материалы!K83</f>
        <v>1758.2933333333333</v>
      </c>
      <c r="F30" s="95">
        <f t="shared" si="1"/>
        <v>23298.981713297468</v>
      </c>
      <c r="G30" s="157">
        <v>2.15</v>
      </c>
      <c r="H30" s="157">
        <v>0.18</v>
      </c>
      <c r="I30" s="157">
        <f t="shared" si="2"/>
        <v>2.33</v>
      </c>
      <c r="J30" s="95">
        <v>23300</v>
      </c>
      <c r="K30" s="91">
        <f t="shared" si="0"/>
        <v>0.01</v>
      </c>
    </row>
    <row r="31" spans="1:15" s="91" customFormat="1" ht="31.2" x14ac:dyDescent="0.2">
      <c r="A31" s="98">
        <v>12</v>
      </c>
      <c r="B31" s="99" t="s">
        <v>315</v>
      </c>
      <c r="C31" s="94" t="s">
        <v>10</v>
      </c>
      <c r="D31" s="95">
        <f>'[1]кальк. физ.'!T29</f>
        <v>26925.860474955167</v>
      </c>
      <c r="E31" s="95">
        <f>[1]материалы!K92</f>
        <v>124.03999999999999</v>
      </c>
      <c r="F31" s="95">
        <f t="shared" si="1"/>
        <v>27049.900474955168</v>
      </c>
      <c r="G31" s="157">
        <v>2.69</v>
      </c>
      <c r="H31" s="157">
        <v>0.01</v>
      </c>
      <c r="I31" s="157">
        <f t="shared" si="2"/>
        <v>2.6999999999999997</v>
      </c>
      <c r="J31" s="95">
        <v>27000</v>
      </c>
      <c r="K31" s="91">
        <f t="shared" si="0"/>
        <v>9.9999999999999985E-3</v>
      </c>
    </row>
    <row r="32" spans="1:15" s="91" customFormat="1" ht="46.8" x14ac:dyDescent="0.2">
      <c r="A32" s="98">
        <v>13</v>
      </c>
      <c r="B32" s="99" t="s">
        <v>22</v>
      </c>
      <c r="C32" s="94" t="s">
        <v>10</v>
      </c>
      <c r="D32" s="95">
        <f>'[1]кальк. физ.'!T30</f>
        <v>26925.860474955167</v>
      </c>
      <c r="E32" s="95">
        <f>[1]материалы!K95</f>
        <v>190.79000000000002</v>
      </c>
      <c r="F32" s="95">
        <f>D32+E32</f>
        <v>27116.650474955168</v>
      </c>
      <c r="G32" s="157">
        <v>2.69</v>
      </c>
      <c r="H32" s="157">
        <v>0.02</v>
      </c>
      <c r="I32" s="157">
        <f t="shared" si="2"/>
        <v>2.71</v>
      </c>
      <c r="J32" s="95">
        <v>27100</v>
      </c>
      <c r="K32" s="91">
        <f t="shared" si="0"/>
        <v>0.01</v>
      </c>
    </row>
    <row r="33" spans="1:11" s="91" customFormat="1" ht="46.8" x14ac:dyDescent="0.2">
      <c r="A33" s="98">
        <v>14</v>
      </c>
      <c r="B33" s="99" t="s">
        <v>23</v>
      </c>
      <c r="C33" s="94" t="s">
        <v>10</v>
      </c>
      <c r="D33" s="95">
        <f>'[1]кальк. физ.'!T31</f>
        <v>26925.860474955167</v>
      </c>
      <c r="E33" s="95">
        <f>[1]материалы!K99</f>
        <v>218.774</v>
      </c>
      <c r="F33" s="95">
        <f t="shared" si="1"/>
        <v>27144.634474955168</v>
      </c>
      <c r="G33" s="157">
        <v>2.69</v>
      </c>
      <c r="H33" s="157">
        <v>0.02</v>
      </c>
      <c r="I33" s="157">
        <f t="shared" si="2"/>
        <v>2.71</v>
      </c>
      <c r="J33" s="95">
        <v>27100</v>
      </c>
      <c r="K33" s="91">
        <f t="shared" si="0"/>
        <v>0.01</v>
      </c>
    </row>
    <row r="34" spans="1:11" s="91" customFormat="1" ht="15.75" customHeight="1" x14ac:dyDescent="0.2">
      <c r="A34" s="98"/>
      <c r="B34" s="369" t="s">
        <v>24</v>
      </c>
      <c r="C34" s="370"/>
      <c r="D34" s="370"/>
      <c r="E34" s="370"/>
      <c r="F34" s="370"/>
      <c r="G34" s="370"/>
      <c r="H34" s="370"/>
      <c r="I34" s="370"/>
      <c r="J34" s="372"/>
    </row>
    <row r="35" spans="1:11" s="91" customFormat="1" ht="28.8" x14ac:dyDescent="0.2">
      <c r="A35" s="98">
        <v>15</v>
      </c>
      <c r="B35" s="99" t="s">
        <v>25</v>
      </c>
      <c r="C35" s="94" t="s">
        <v>10</v>
      </c>
      <c r="D35" s="95">
        <f>'[1]кальк. физ.'!$T$34</f>
        <v>12062.785492779914</v>
      </c>
      <c r="E35" s="95">
        <f>[1]материалы!K105</f>
        <v>142.92000000000002</v>
      </c>
      <c r="F35" s="95">
        <f t="shared" si="1"/>
        <v>12205.705492779914</v>
      </c>
      <c r="G35" s="157">
        <v>1.21</v>
      </c>
      <c r="H35" s="157">
        <v>0.01</v>
      </c>
      <c r="I35" s="157">
        <f t="shared" si="2"/>
        <v>1.22</v>
      </c>
      <c r="J35" s="95">
        <v>12200</v>
      </c>
      <c r="K35" s="91">
        <f t="shared" si="0"/>
        <v>9.9999999999999985E-3</v>
      </c>
    </row>
    <row r="36" spans="1:11" s="91" customFormat="1" ht="15.75" customHeight="1" x14ac:dyDescent="0.2">
      <c r="A36" s="98"/>
      <c r="B36" s="369" t="s">
        <v>26</v>
      </c>
      <c r="C36" s="370"/>
      <c r="D36" s="370"/>
      <c r="E36" s="370"/>
      <c r="F36" s="370"/>
      <c r="G36" s="370"/>
      <c r="H36" s="370"/>
      <c r="I36" s="370"/>
      <c r="J36" s="372"/>
    </row>
    <row r="37" spans="1:11" s="91" customFormat="1" ht="15.6" x14ac:dyDescent="0.2">
      <c r="A37" s="98">
        <v>16</v>
      </c>
      <c r="B37" s="99" t="s">
        <v>27</v>
      </c>
      <c r="C37" s="147" t="s">
        <v>10</v>
      </c>
      <c r="D37" s="95">
        <f>'[1]кальк. физ.'!T38</f>
        <v>51439.163851354351</v>
      </c>
      <c r="E37" s="95">
        <f>[1]материалы!K111</f>
        <v>21641.651399999999</v>
      </c>
      <c r="F37" s="95">
        <f>D37+E37</f>
        <v>73080.815251354346</v>
      </c>
      <c r="G37" s="157">
        <v>5.14</v>
      </c>
      <c r="H37" s="157">
        <v>2.16</v>
      </c>
      <c r="I37" s="157">
        <f t="shared" si="2"/>
        <v>7.3</v>
      </c>
      <c r="J37" s="95">
        <v>73000</v>
      </c>
      <c r="K37" s="91">
        <f>I37/J37*100</f>
        <v>9.9999999999999985E-3</v>
      </c>
    </row>
    <row r="38" spans="1:11" s="91" customFormat="1" ht="31.2" x14ac:dyDescent="0.2">
      <c r="A38" s="98">
        <v>17</v>
      </c>
      <c r="B38" s="99" t="s">
        <v>29</v>
      </c>
      <c r="C38" s="94" t="s">
        <v>10</v>
      </c>
      <c r="D38" s="95">
        <f>'[1]кальк. физ.'!T46</f>
        <v>29726.149964350501</v>
      </c>
      <c r="E38" s="95">
        <f>[1]материалы!K117</f>
        <v>29341.651399999999</v>
      </c>
      <c r="F38" s="95">
        <f>D38+E38</f>
        <v>59067.801364350496</v>
      </c>
      <c r="G38" s="157">
        <v>2.97</v>
      </c>
      <c r="H38" s="157">
        <v>2.93</v>
      </c>
      <c r="I38" s="157">
        <f t="shared" si="2"/>
        <v>5.9</v>
      </c>
      <c r="J38" s="95">
        <v>59000</v>
      </c>
      <c r="K38" s="91">
        <f>I38/J38*100</f>
        <v>0.01</v>
      </c>
    </row>
    <row r="39" spans="1:11" s="91" customFormat="1" ht="22.8" customHeight="1" x14ac:dyDescent="0.2">
      <c r="A39" s="364" t="s">
        <v>1</v>
      </c>
      <c r="B39" s="364" t="s">
        <v>2</v>
      </c>
      <c r="C39" s="364" t="s">
        <v>3</v>
      </c>
      <c r="D39" s="359" t="s">
        <v>172</v>
      </c>
      <c r="E39" s="359" t="s">
        <v>173</v>
      </c>
      <c r="F39" s="368" t="s">
        <v>4</v>
      </c>
      <c r="G39" s="359" t="s">
        <v>176</v>
      </c>
      <c r="H39" s="359" t="s">
        <v>355</v>
      </c>
      <c r="I39" s="359" t="s">
        <v>177</v>
      </c>
      <c r="J39" s="359" t="s">
        <v>356</v>
      </c>
    </row>
    <row r="40" spans="1:11" s="91" customFormat="1" ht="39" customHeight="1" x14ac:dyDescent="0.2">
      <c r="A40" s="365"/>
      <c r="B40" s="364"/>
      <c r="C40" s="364"/>
      <c r="D40" s="366"/>
      <c r="E40" s="359"/>
      <c r="F40" s="368"/>
      <c r="G40" s="366"/>
      <c r="H40" s="359"/>
      <c r="I40" s="359"/>
      <c r="J40" s="359"/>
    </row>
    <row r="41" spans="1:11" s="91" customFormat="1" ht="15.6" x14ac:dyDescent="0.3">
      <c r="A41" s="129">
        <v>1</v>
      </c>
      <c r="B41" s="129">
        <v>2</v>
      </c>
      <c r="C41" s="129">
        <v>3</v>
      </c>
      <c r="D41" s="129">
        <v>4</v>
      </c>
      <c r="E41" s="129">
        <v>5</v>
      </c>
      <c r="F41" s="129">
        <v>6</v>
      </c>
      <c r="G41" s="129">
        <v>4</v>
      </c>
      <c r="H41" s="129">
        <v>5</v>
      </c>
      <c r="I41" s="129">
        <v>6</v>
      </c>
      <c r="J41" s="129">
        <v>7</v>
      </c>
    </row>
    <row r="42" spans="1:11" s="91" customFormat="1" ht="15.6" x14ac:dyDescent="0.3">
      <c r="A42" s="98"/>
      <c r="B42" s="369" t="s">
        <v>30</v>
      </c>
      <c r="C42" s="370"/>
      <c r="D42" s="370"/>
      <c r="E42" s="370"/>
      <c r="F42" s="370"/>
      <c r="G42" s="370"/>
      <c r="H42" s="370"/>
      <c r="I42" s="370"/>
      <c r="J42" s="371"/>
    </row>
    <row r="43" spans="1:11" s="91" customFormat="1" ht="31.2" x14ac:dyDescent="0.2">
      <c r="A43" s="98">
        <v>18</v>
      </c>
      <c r="B43" s="99" t="s">
        <v>31</v>
      </c>
      <c r="C43" s="94" t="s">
        <v>10</v>
      </c>
      <c r="D43" s="95">
        <f>'[1]кальк. физ.'!T48</f>
        <v>21540.688379964133</v>
      </c>
      <c r="E43" s="95">
        <f>[1]материалы!K123</f>
        <v>4144.9480000000003</v>
      </c>
      <c r="F43" s="95">
        <f>D43+E43</f>
        <v>25685.636379964133</v>
      </c>
      <c r="G43" s="157">
        <v>2.15</v>
      </c>
      <c r="H43" s="157">
        <v>0.41</v>
      </c>
      <c r="I43" s="157">
        <f t="shared" si="2"/>
        <v>2.56</v>
      </c>
      <c r="J43" s="95">
        <v>25600</v>
      </c>
      <c r="K43" s="91">
        <f>I43/J43*100</f>
        <v>0.01</v>
      </c>
    </row>
    <row r="44" spans="1:11" s="91" customFormat="1" ht="15.6" x14ac:dyDescent="0.3">
      <c r="A44" s="100"/>
      <c r="B44" s="375" t="s">
        <v>32</v>
      </c>
      <c r="C44" s="375"/>
      <c r="D44" s="375"/>
      <c r="E44" s="375"/>
      <c r="F44" s="375"/>
      <c r="G44" s="375"/>
      <c r="H44" s="375"/>
      <c r="I44" s="375"/>
      <c r="J44" s="376"/>
      <c r="K44" s="91" t="e">
        <f>#REF!/J44*100</f>
        <v>#REF!</v>
      </c>
    </row>
    <row r="45" spans="1:11" s="91" customFormat="1" ht="15.6" x14ac:dyDescent="0.3">
      <c r="A45" s="100"/>
      <c r="B45" s="377" t="s">
        <v>33</v>
      </c>
      <c r="C45" s="378"/>
      <c r="D45" s="378"/>
      <c r="E45" s="378"/>
      <c r="F45" s="378"/>
      <c r="G45" s="378"/>
      <c r="H45" s="378"/>
      <c r="I45" s="378"/>
      <c r="J45" s="379"/>
      <c r="K45" s="91" t="e">
        <f>#REF!/J45*100</f>
        <v>#REF!</v>
      </c>
    </row>
    <row r="46" spans="1:11" s="91" customFormat="1" ht="78" x14ac:dyDescent="0.2">
      <c r="A46" s="101">
        <v>19</v>
      </c>
      <c r="B46" s="99" t="s">
        <v>34</v>
      </c>
      <c r="C46" s="94" t="s">
        <v>10</v>
      </c>
      <c r="D46" s="95">
        <f>'[1]кальк. массаж'!T25</f>
        <v>26009.749508196121</v>
      </c>
      <c r="E46" s="95">
        <f>[1]материалы!K130</f>
        <v>958.1</v>
      </c>
      <c r="F46" s="95">
        <f>D46+E46</f>
        <v>26967.849508196119</v>
      </c>
      <c r="G46" s="157">
        <v>2.6</v>
      </c>
      <c r="H46" s="157">
        <v>0.1</v>
      </c>
      <c r="I46" s="157">
        <f>G46+H46</f>
        <v>2.7</v>
      </c>
      <c r="J46" s="95">
        <v>27000</v>
      </c>
      <c r="K46" s="91">
        <f>I49/J46*100</f>
        <v>1.5222222222222224E-2</v>
      </c>
    </row>
    <row r="47" spans="1:11" s="90" customFormat="1" ht="46.8" x14ac:dyDescent="0.2">
      <c r="A47" s="101">
        <v>20</v>
      </c>
      <c r="B47" s="99" t="s">
        <v>35</v>
      </c>
      <c r="C47" s="94" t="s">
        <v>10</v>
      </c>
      <c r="D47" s="95">
        <f>'[1]кальк. массаж'!T27</f>
        <v>17932.237272502094</v>
      </c>
      <c r="E47" s="95">
        <f>[1]материалы!K136</f>
        <v>1071.8399999999999</v>
      </c>
      <c r="F47" s="95">
        <f>D47+E47</f>
        <v>19004.077272502094</v>
      </c>
      <c r="G47" s="157">
        <v>1.8</v>
      </c>
      <c r="H47" s="157">
        <v>0.11</v>
      </c>
      <c r="I47" s="157">
        <f>G47+H47</f>
        <v>1.9100000000000001</v>
      </c>
      <c r="J47" s="95">
        <v>19100</v>
      </c>
      <c r="K47" s="91"/>
    </row>
    <row r="48" spans="1:11" s="90" customFormat="1" ht="93.6" x14ac:dyDescent="0.2">
      <c r="A48" s="101">
        <v>21</v>
      </c>
      <c r="B48" s="99" t="s">
        <v>36</v>
      </c>
      <c r="C48" s="94" t="s">
        <v>10</v>
      </c>
      <c r="D48" s="95">
        <f>'[1]кальк. массаж'!T30</f>
        <v>32502.180056410045</v>
      </c>
      <c r="E48" s="95">
        <f>[1]материалы!K142</f>
        <v>1071.8399999999999</v>
      </c>
      <c r="F48" s="95">
        <f>D48+E48</f>
        <v>33574.020056410045</v>
      </c>
      <c r="G48" s="157">
        <v>3.25</v>
      </c>
      <c r="H48" s="157">
        <v>0.11</v>
      </c>
      <c r="I48" s="157">
        <f>G48+H48</f>
        <v>3.36</v>
      </c>
      <c r="J48" s="95">
        <v>33600</v>
      </c>
      <c r="K48" s="91"/>
    </row>
    <row r="49" spans="1:11" s="91" customFormat="1" ht="78" x14ac:dyDescent="0.2">
      <c r="A49" s="101">
        <v>22</v>
      </c>
      <c r="B49" s="99" t="s">
        <v>37</v>
      </c>
      <c r="C49" s="94" t="s">
        <v>10</v>
      </c>
      <c r="D49" s="95">
        <f>'[1]кальк. массаж'!T32</f>
        <v>40027.315340406451</v>
      </c>
      <c r="E49" s="95">
        <f>[1]материалы!K148</f>
        <v>1071.8399999999999</v>
      </c>
      <c r="F49" s="95">
        <f>D49+E49</f>
        <v>41099.155340406447</v>
      </c>
      <c r="G49" s="157">
        <v>4</v>
      </c>
      <c r="H49" s="157">
        <v>0.11</v>
      </c>
      <c r="I49" s="157">
        <f>G49+H49</f>
        <v>4.1100000000000003</v>
      </c>
      <c r="J49" s="95">
        <v>41100</v>
      </c>
    </row>
    <row r="50" spans="1:11" s="91" customFormat="1" ht="15.6" x14ac:dyDescent="0.2">
      <c r="A50" s="92"/>
      <c r="B50" s="369" t="s">
        <v>316</v>
      </c>
      <c r="C50" s="370"/>
      <c r="D50" s="370"/>
      <c r="E50" s="370"/>
      <c r="F50" s="370"/>
      <c r="G50" s="370"/>
      <c r="H50" s="370"/>
      <c r="I50" s="370"/>
      <c r="J50" s="372"/>
      <c r="K50" s="91" t="e">
        <f>I54/J50*100</f>
        <v>#DIV/0!</v>
      </c>
    </row>
    <row r="51" spans="1:11" s="91" customFormat="1" ht="15.75" customHeight="1" x14ac:dyDescent="0.2">
      <c r="A51" s="92"/>
      <c r="B51" s="369" t="s">
        <v>317</v>
      </c>
      <c r="C51" s="370"/>
      <c r="D51" s="370"/>
      <c r="E51" s="370"/>
      <c r="F51" s="370"/>
      <c r="G51" s="370"/>
      <c r="H51" s="370"/>
      <c r="I51" s="370"/>
      <c r="J51" s="372"/>
    </row>
    <row r="52" spans="1:11" s="91" customFormat="1" ht="31.2" x14ac:dyDescent="0.2">
      <c r="A52" s="92">
        <v>23</v>
      </c>
      <c r="B52" s="99" t="s">
        <v>318</v>
      </c>
      <c r="C52" s="94" t="s">
        <v>319</v>
      </c>
      <c r="D52" s="95">
        <f>'[1]кальк. УЗИ'!T14</f>
        <v>32940.447897130907</v>
      </c>
      <c r="E52" s="95">
        <f>[1]материалы!K156</f>
        <v>617.55163636363636</v>
      </c>
      <c r="F52" s="95">
        <f>D52+E52</f>
        <v>33557.999533494542</v>
      </c>
      <c r="G52" s="157">
        <v>3.29</v>
      </c>
      <c r="H52" s="157">
        <v>0.06</v>
      </c>
      <c r="I52" s="157">
        <f>G52+H52</f>
        <v>3.35</v>
      </c>
      <c r="J52" s="95">
        <v>33500</v>
      </c>
      <c r="K52" s="91">
        <f>I56/J52*100</f>
        <v>1.3253731343283582E-2</v>
      </c>
    </row>
    <row r="53" spans="1:11" s="91" customFormat="1" ht="15.6" x14ac:dyDescent="0.2">
      <c r="A53" s="92">
        <v>24</v>
      </c>
      <c r="B53" s="99" t="s">
        <v>320</v>
      </c>
      <c r="C53" s="94" t="s">
        <v>319</v>
      </c>
      <c r="D53" s="95">
        <f>'[1]кальк. УЗИ'!T18</f>
        <v>32940.447897130907</v>
      </c>
      <c r="E53" s="95">
        <f>[1]материалы!K164</f>
        <v>450.47436000000005</v>
      </c>
      <c r="F53" s="95">
        <f>D53+E53</f>
        <v>33390.922257130907</v>
      </c>
      <c r="G53" s="157">
        <v>3.29</v>
      </c>
      <c r="H53" s="157">
        <v>0.05</v>
      </c>
      <c r="I53" s="157">
        <f>G53+H53</f>
        <v>3.34</v>
      </c>
      <c r="J53" s="95">
        <v>33400</v>
      </c>
      <c r="K53" s="91">
        <f>I57/J53*100</f>
        <v>6.7365269461077846E-3</v>
      </c>
    </row>
    <row r="54" spans="1:11" s="91" customFormat="1" ht="15.6" x14ac:dyDescent="0.2">
      <c r="A54" s="92">
        <v>25</v>
      </c>
      <c r="B54" s="99" t="s">
        <v>321</v>
      </c>
      <c r="C54" s="94" t="s">
        <v>319</v>
      </c>
      <c r="D54" s="95">
        <f>'[1]кальк. УЗИ'!T22</f>
        <v>21960.298598087269</v>
      </c>
      <c r="E54" s="95">
        <f>[1]материалы!K172</f>
        <v>450.47436000000005</v>
      </c>
      <c r="F54" s="95">
        <f>D54+E54</f>
        <v>22410.772958087269</v>
      </c>
      <c r="G54" s="157">
        <v>2.2000000000000002</v>
      </c>
      <c r="H54" s="157">
        <v>0.05</v>
      </c>
      <c r="I54" s="157">
        <f>G54+H54</f>
        <v>2.25</v>
      </c>
      <c r="J54" s="95">
        <v>22500</v>
      </c>
      <c r="K54" s="91">
        <f>I65/J54*100</f>
        <v>1.6533333333333334E-2</v>
      </c>
    </row>
    <row r="55" spans="1:11" s="91" customFormat="1" ht="20.25" customHeight="1" x14ac:dyDescent="0.2">
      <c r="A55" s="92"/>
      <c r="B55" s="369" t="s">
        <v>322</v>
      </c>
      <c r="C55" s="370"/>
      <c r="D55" s="370"/>
      <c r="E55" s="370"/>
      <c r="F55" s="370"/>
      <c r="G55" s="370"/>
      <c r="H55" s="370"/>
      <c r="I55" s="370"/>
      <c r="J55" s="372"/>
      <c r="K55" s="91" t="e">
        <f>I70/J55*100</f>
        <v>#DIV/0!</v>
      </c>
    </row>
    <row r="56" spans="1:11" s="91" customFormat="1" ht="15.6" x14ac:dyDescent="0.2">
      <c r="A56" s="92">
        <v>26</v>
      </c>
      <c r="B56" s="99" t="s">
        <v>323</v>
      </c>
      <c r="C56" s="94" t="s">
        <v>319</v>
      </c>
      <c r="D56" s="95">
        <f>'[1]кальк. УЗИ'!T29</f>
        <v>43920.597196174538</v>
      </c>
      <c r="E56" s="95">
        <f>[1]материалы!K181</f>
        <v>450.47436000000005</v>
      </c>
      <c r="F56" s="95">
        <f t="shared" ref="F56:F73" si="3">D56+E56</f>
        <v>44371.071556174538</v>
      </c>
      <c r="G56" s="157">
        <v>4.3899999999999997</v>
      </c>
      <c r="H56" s="157">
        <v>0.05</v>
      </c>
      <c r="I56" s="157">
        <f t="shared" ref="I56:I68" si="4">G56+H56</f>
        <v>4.4399999999999995</v>
      </c>
      <c r="J56" s="95">
        <v>44400</v>
      </c>
      <c r="K56" s="91">
        <f>I71/J56*100</f>
        <v>5.067567567567567E-3</v>
      </c>
    </row>
    <row r="57" spans="1:11" s="91" customFormat="1" ht="15.6" x14ac:dyDescent="0.2">
      <c r="A57" s="92">
        <v>27</v>
      </c>
      <c r="B57" s="99" t="s">
        <v>324</v>
      </c>
      <c r="C57" s="94" t="s">
        <v>319</v>
      </c>
      <c r="D57" s="95">
        <f>'[1]кальк. УЗИ'!T31</f>
        <v>21960.298598087269</v>
      </c>
      <c r="E57" s="95">
        <f>[1]материалы!K189</f>
        <v>450.47436000000005</v>
      </c>
      <c r="F57" s="95">
        <f t="shared" si="3"/>
        <v>22410.772958087269</v>
      </c>
      <c r="G57" s="157">
        <v>2.2000000000000002</v>
      </c>
      <c r="H57" s="157">
        <v>0.05</v>
      </c>
      <c r="I57" s="157">
        <f t="shared" si="4"/>
        <v>2.25</v>
      </c>
      <c r="J57" s="95">
        <v>22500</v>
      </c>
    </row>
    <row r="58" spans="1:11" s="91" customFormat="1" ht="31.2" x14ac:dyDescent="0.2">
      <c r="A58" s="92">
        <v>28</v>
      </c>
      <c r="B58" s="99" t="s">
        <v>325</v>
      </c>
      <c r="C58" s="94" t="s">
        <v>319</v>
      </c>
      <c r="D58" s="95">
        <f>'[1]кальк. УЗИ'!T33</f>
        <v>32940.447897130907</v>
      </c>
      <c r="E58" s="95">
        <f>[1]материалы!K197</f>
        <v>450.47436000000005</v>
      </c>
      <c r="F58" s="95">
        <f t="shared" si="3"/>
        <v>33390.922257130907</v>
      </c>
      <c r="G58" s="157">
        <v>3.29</v>
      </c>
      <c r="H58" s="157">
        <v>0.05</v>
      </c>
      <c r="I58" s="157">
        <f t="shared" si="4"/>
        <v>3.34</v>
      </c>
      <c r="J58" s="95">
        <v>33400</v>
      </c>
      <c r="K58" s="91">
        <f>I73/J58*100</f>
        <v>6.7365269461077846E-3</v>
      </c>
    </row>
    <row r="59" spans="1:11" s="91" customFormat="1" ht="31.2" x14ac:dyDescent="0.2">
      <c r="A59" s="92">
        <v>29</v>
      </c>
      <c r="B59" s="99" t="s">
        <v>326</v>
      </c>
      <c r="C59" s="94" t="s">
        <v>319</v>
      </c>
      <c r="D59" s="95">
        <f>'[1]кальк. УЗИ'!T35</f>
        <v>54900.746495218176</v>
      </c>
      <c r="E59" s="95">
        <f>[1]материалы!K205</f>
        <v>450.47436000000005</v>
      </c>
      <c r="F59" s="95">
        <f t="shared" si="3"/>
        <v>55351.220855218176</v>
      </c>
      <c r="G59" s="157">
        <v>5.49</v>
      </c>
      <c r="H59" s="157">
        <v>0.05</v>
      </c>
      <c r="I59" s="157">
        <f t="shared" si="4"/>
        <v>5.54</v>
      </c>
      <c r="J59" s="95">
        <v>55400</v>
      </c>
    </row>
    <row r="60" spans="1:11" s="91" customFormat="1" ht="46.8" x14ac:dyDescent="0.2">
      <c r="A60" s="92">
        <v>30</v>
      </c>
      <c r="B60" s="99" t="s">
        <v>327</v>
      </c>
      <c r="C60" s="94" t="s">
        <v>319</v>
      </c>
      <c r="D60" s="95">
        <f>'[1]кальк. УЗИ'!T37</f>
        <v>65880.895794261814</v>
      </c>
      <c r="E60" s="95">
        <f>[1]материалы!K213</f>
        <v>450.47436000000005</v>
      </c>
      <c r="F60" s="95">
        <f t="shared" si="3"/>
        <v>66331.370154261807</v>
      </c>
      <c r="G60" s="157">
        <v>6.59</v>
      </c>
      <c r="H60" s="157">
        <v>0.05</v>
      </c>
      <c r="I60" s="157">
        <f t="shared" si="4"/>
        <v>6.64</v>
      </c>
      <c r="J60" s="95">
        <v>66400</v>
      </c>
      <c r="K60" s="91">
        <f>I75/J60*100</f>
        <v>1.3298192771084337E-2</v>
      </c>
    </row>
    <row r="61" spans="1:11" s="91" customFormat="1" ht="46.8" x14ac:dyDescent="0.2">
      <c r="A61" s="92">
        <v>31</v>
      </c>
      <c r="B61" s="99" t="s">
        <v>328</v>
      </c>
      <c r="C61" s="94" t="s">
        <v>319</v>
      </c>
      <c r="D61" s="95">
        <f>'[1]кальк. УЗИ'!T34</f>
        <v>0</v>
      </c>
      <c r="E61" s="95">
        <f>[1]материалы!K216</f>
        <v>0</v>
      </c>
      <c r="F61" s="95">
        <f t="shared" si="3"/>
        <v>0</v>
      </c>
      <c r="G61" s="157">
        <v>4.3899999999999997</v>
      </c>
      <c r="H61" s="157">
        <v>0.05</v>
      </c>
      <c r="I61" s="157">
        <f t="shared" si="4"/>
        <v>4.4399999999999995</v>
      </c>
      <c r="J61" s="95">
        <v>44400</v>
      </c>
    </row>
    <row r="62" spans="1:11" s="91" customFormat="1" ht="32.4" customHeight="1" x14ac:dyDescent="0.2">
      <c r="A62" s="364" t="s">
        <v>1</v>
      </c>
      <c r="B62" s="364" t="s">
        <v>2</v>
      </c>
      <c r="C62" s="364" t="s">
        <v>3</v>
      </c>
      <c r="D62" s="359" t="s">
        <v>172</v>
      </c>
      <c r="E62" s="359" t="s">
        <v>173</v>
      </c>
      <c r="F62" s="368" t="s">
        <v>4</v>
      </c>
      <c r="G62" s="359" t="s">
        <v>176</v>
      </c>
      <c r="H62" s="359" t="s">
        <v>355</v>
      </c>
      <c r="I62" s="359" t="s">
        <v>177</v>
      </c>
      <c r="J62" s="359" t="s">
        <v>356</v>
      </c>
    </row>
    <row r="63" spans="1:11" s="91" customFormat="1" ht="31.8" customHeight="1" x14ac:dyDescent="0.2">
      <c r="A63" s="365"/>
      <c r="B63" s="364"/>
      <c r="C63" s="364"/>
      <c r="D63" s="366"/>
      <c r="E63" s="359"/>
      <c r="F63" s="368"/>
      <c r="G63" s="366"/>
      <c r="H63" s="359"/>
      <c r="I63" s="359"/>
      <c r="J63" s="359"/>
    </row>
    <row r="64" spans="1:11" s="91" customFormat="1" ht="15.6" x14ac:dyDescent="0.3">
      <c r="A64" s="129">
        <v>1</v>
      </c>
      <c r="B64" s="129">
        <v>2</v>
      </c>
      <c r="C64" s="129">
        <v>3</v>
      </c>
      <c r="D64" s="129">
        <v>4</v>
      </c>
      <c r="E64" s="129">
        <v>5</v>
      </c>
      <c r="F64" s="129">
        <v>6</v>
      </c>
      <c r="G64" s="129">
        <v>4</v>
      </c>
      <c r="H64" s="129">
        <v>5</v>
      </c>
      <c r="I64" s="129">
        <v>6</v>
      </c>
      <c r="J64" s="129">
        <v>7</v>
      </c>
    </row>
    <row r="65" spans="1:10" s="91" customFormat="1" ht="15.6" x14ac:dyDescent="0.2">
      <c r="A65" s="92">
        <v>32</v>
      </c>
      <c r="B65" s="99" t="s">
        <v>329</v>
      </c>
      <c r="C65" s="94" t="s">
        <v>319</v>
      </c>
      <c r="D65" s="95">
        <f>'[1]кальк. УЗИ'!T41</f>
        <v>32940.447897130907</v>
      </c>
      <c r="E65" s="95">
        <f>[1]материалы!K229</f>
        <v>4300.4743600000002</v>
      </c>
      <c r="F65" s="95">
        <f t="shared" si="3"/>
        <v>37240.922257130907</v>
      </c>
      <c r="G65" s="157">
        <v>3.29</v>
      </c>
      <c r="H65" s="157">
        <v>0.43</v>
      </c>
      <c r="I65" s="157">
        <f t="shared" si="4"/>
        <v>3.72</v>
      </c>
      <c r="J65" s="95">
        <v>37200</v>
      </c>
    </row>
    <row r="66" spans="1:10" s="91" customFormat="1" ht="31.2" x14ac:dyDescent="0.2">
      <c r="A66" s="92">
        <v>33</v>
      </c>
      <c r="B66" s="99" t="s">
        <v>330</v>
      </c>
      <c r="C66" s="94" t="s">
        <v>319</v>
      </c>
      <c r="D66" s="95">
        <f>'[1]кальк. УЗИ'!T43</f>
        <v>43920.597196174538</v>
      </c>
      <c r="E66" s="95">
        <f>[1]материалы!K238</f>
        <v>450.47436000000005</v>
      </c>
      <c r="F66" s="95">
        <f t="shared" si="3"/>
        <v>44371.071556174538</v>
      </c>
      <c r="G66" s="157">
        <v>4.3899999999999997</v>
      </c>
      <c r="H66" s="157">
        <v>0.05</v>
      </c>
      <c r="I66" s="157">
        <f t="shared" si="4"/>
        <v>4.4399999999999995</v>
      </c>
      <c r="J66" s="95">
        <v>44400</v>
      </c>
    </row>
    <row r="67" spans="1:10" s="91" customFormat="1" ht="15.6" x14ac:dyDescent="0.2">
      <c r="A67" s="92">
        <v>34</v>
      </c>
      <c r="B67" s="99" t="s">
        <v>331</v>
      </c>
      <c r="C67" s="94" t="s">
        <v>319</v>
      </c>
      <c r="D67" s="95">
        <f>'[1]кальк. УЗИ'!T45</f>
        <v>43920.597196174538</v>
      </c>
      <c r="E67" s="95">
        <f>[1]материалы!K246</f>
        <v>4300.4743600000002</v>
      </c>
      <c r="F67" s="95">
        <f t="shared" si="3"/>
        <v>48221.071556174538</v>
      </c>
      <c r="G67" s="157">
        <v>4.3899999999999997</v>
      </c>
      <c r="H67" s="157">
        <v>0.43</v>
      </c>
      <c r="I67" s="157">
        <f t="shared" si="4"/>
        <v>4.8199999999999994</v>
      </c>
      <c r="J67" s="95">
        <v>48200</v>
      </c>
    </row>
    <row r="68" spans="1:10" s="106" customFormat="1" ht="93.6" x14ac:dyDescent="0.25">
      <c r="A68" s="92">
        <v>35</v>
      </c>
      <c r="B68" s="99" t="s">
        <v>332</v>
      </c>
      <c r="C68" s="94" t="s">
        <v>319</v>
      </c>
      <c r="D68" s="95">
        <f>'[1]кальк. УЗИ'!T47</f>
        <v>109801.49299043635</v>
      </c>
      <c r="E68" s="95">
        <f>[1]материалы!K255</f>
        <v>450.47436000000005</v>
      </c>
      <c r="F68" s="95">
        <f t="shared" si="3"/>
        <v>110251.96735043635</v>
      </c>
      <c r="G68" s="157">
        <v>10.98</v>
      </c>
      <c r="H68" s="157">
        <v>0.05</v>
      </c>
      <c r="I68" s="157">
        <f t="shared" si="4"/>
        <v>11.030000000000001</v>
      </c>
      <c r="J68" s="95">
        <v>110300</v>
      </c>
    </row>
    <row r="69" spans="1:10" ht="15.6" x14ac:dyDescent="0.3">
      <c r="A69" s="97"/>
      <c r="B69" s="373" t="s">
        <v>333</v>
      </c>
      <c r="C69" s="374"/>
      <c r="D69" s="374"/>
      <c r="E69" s="374"/>
      <c r="F69" s="374"/>
      <c r="G69" s="374"/>
      <c r="H69" s="374"/>
      <c r="I69" s="374"/>
      <c r="J69" s="371"/>
    </row>
    <row r="70" spans="1:10" ht="46.8" x14ac:dyDescent="0.25">
      <c r="A70" s="92">
        <v>36</v>
      </c>
      <c r="B70" s="99" t="s">
        <v>334</v>
      </c>
      <c r="C70" s="94" t="s">
        <v>319</v>
      </c>
      <c r="D70" s="95">
        <f>'[1]кальк. УЗИ'!T50</f>
        <v>43920.597196174538</v>
      </c>
      <c r="E70" s="95">
        <f>[1]материалы!K264</f>
        <v>450.47436000000005</v>
      </c>
      <c r="F70" s="95">
        <f t="shared" si="3"/>
        <v>44371.071556174538</v>
      </c>
      <c r="G70" s="157">
        <v>4.3899999999999997</v>
      </c>
      <c r="H70" s="157">
        <v>0.05</v>
      </c>
      <c r="I70" s="157">
        <f>G70+H70</f>
        <v>4.4399999999999995</v>
      </c>
      <c r="J70" s="95">
        <v>44400</v>
      </c>
    </row>
    <row r="71" spans="1:10" ht="15.6" x14ac:dyDescent="0.25">
      <c r="A71" s="92">
        <v>37</v>
      </c>
      <c r="B71" s="99" t="s">
        <v>335</v>
      </c>
      <c r="C71" s="94" t="s">
        <v>319</v>
      </c>
      <c r="D71" s="95">
        <f>'[1]кальк. УЗИ'!T52</f>
        <v>21960.298598087269</v>
      </c>
      <c r="E71" s="95">
        <f>[1]материалы!K272</f>
        <v>450.47436000000005</v>
      </c>
      <c r="F71" s="95">
        <f t="shared" si="3"/>
        <v>22410.772958087269</v>
      </c>
      <c r="G71" s="157">
        <v>2.2000000000000002</v>
      </c>
      <c r="H71" s="157">
        <v>0.05</v>
      </c>
      <c r="I71" s="157">
        <f>G71+H71</f>
        <v>2.25</v>
      </c>
      <c r="J71" s="95">
        <v>22500</v>
      </c>
    </row>
    <row r="72" spans="1:10" ht="31.2" x14ac:dyDescent="0.25">
      <c r="A72" s="92">
        <v>38</v>
      </c>
      <c r="B72" s="99" t="s">
        <v>336</v>
      </c>
      <c r="C72" s="94" t="s">
        <v>319</v>
      </c>
      <c r="D72" s="95">
        <f>'[1]кальк. УЗИ'!T54</f>
        <v>43920.597196174538</v>
      </c>
      <c r="E72" s="95">
        <f>[1]материалы!K280</f>
        <v>450.47436000000005</v>
      </c>
      <c r="F72" s="95">
        <f t="shared" si="3"/>
        <v>44371.071556174538</v>
      </c>
      <c r="G72" s="157">
        <v>4.3899999999999997</v>
      </c>
      <c r="H72" s="157">
        <v>0.05</v>
      </c>
      <c r="I72" s="157">
        <f>G72+H72</f>
        <v>4.4399999999999995</v>
      </c>
      <c r="J72" s="95">
        <v>44400</v>
      </c>
    </row>
    <row r="73" spans="1:10" ht="31.2" x14ac:dyDescent="0.25">
      <c r="A73" s="92">
        <v>39</v>
      </c>
      <c r="B73" s="99" t="s">
        <v>337</v>
      </c>
      <c r="C73" s="94" t="s">
        <v>319</v>
      </c>
      <c r="D73" s="95">
        <f>'[1]кальк. УЗИ'!T56</f>
        <v>21960.298598087269</v>
      </c>
      <c r="E73" s="95">
        <f>[1]материалы!K288</f>
        <v>450.47436000000005</v>
      </c>
      <c r="F73" s="95">
        <f t="shared" si="3"/>
        <v>22410.772958087269</v>
      </c>
      <c r="G73" s="157">
        <v>2.2000000000000002</v>
      </c>
      <c r="H73" s="157">
        <v>0.05</v>
      </c>
      <c r="I73" s="157">
        <f>G73+H73</f>
        <v>2.25</v>
      </c>
      <c r="J73" s="95">
        <v>22500</v>
      </c>
    </row>
    <row r="74" spans="1:10" ht="15.6" x14ac:dyDescent="0.25">
      <c r="A74" s="92"/>
      <c r="B74" s="369" t="s">
        <v>338</v>
      </c>
      <c r="C74" s="370"/>
      <c r="D74" s="370"/>
      <c r="E74" s="370"/>
      <c r="F74" s="370"/>
      <c r="G74" s="370"/>
      <c r="H74" s="370"/>
      <c r="I74" s="370"/>
      <c r="J74" s="372"/>
    </row>
    <row r="75" spans="1:10" ht="31.2" x14ac:dyDescent="0.25">
      <c r="A75" s="92">
        <v>40</v>
      </c>
      <c r="B75" s="99" t="s">
        <v>339</v>
      </c>
      <c r="C75" s="94" t="s">
        <v>319</v>
      </c>
      <c r="D75" s="95">
        <f>'[1]кальк. УЗИ'!T58</f>
        <v>87841.194392349076</v>
      </c>
      <c r="E75" s="95">
        <f>[1]материалы!K297</f>
        <v>450.47436000000005</v>
      </c>
      <c r="F75" s="95">
        <f>D75+E75</f>
        <v>88291.668752349069</v>
      </c>
      <c r="G75" s="157">
        <v>8.7799999999999994</v>
      </c>
      <c r="H75" s="157">
        <v>0.05</v>
      </c>
      <c r="I75" s="157">
        <f>G75+H75</f>
        <v>8.83</v>
      </c>
      <c r="J75" s="95">
        <v>88300</v>
      </c>
    </row>
    <row r="76" spans="1:10" ht="15.6" x14ac:dyDescent="0.25">
      <c r="A76" s="92">
        <v>41</v>
      </c>
      <c r="B76" s="99" t="s">
        <v>340</v>
      </c>
      <c r="C76" s="94" t="s">
        <v>319</v>
      </c>
      <c r="D76" s="95">
        <f>'[1]кальк. УЗИ'!T60</f>
        <v>65880.895794261814</v>
      </c>
      <c r="E76" s="95">
        <f>[1]материалы!K305</f>
        <v>450.47436000000005</v>
      </c>
      <c r="F76" s="95">
        <f>D76+E76</f>
        <v>66331.370154261807</v>
      </c>
      <c r="G76" s="157">
        <v>6.59</v>
      </c>
      <c r="H76" s="157">
        <v>0.05</v>
      </c>
      <c r="I76" s="157">
        <f>G76+H76</f>
        <v>6.64</v>
      </c>
      <c r="J76" s="95">
        <v>66400</v>
      </c>
    </row>
    <row r="77" spans="1:10" ht="15.6" x14ac:dyDescent="0.25">
      <c r="A77" s="92">
        <v>42</v>
      </c>
      <c r="B77" s="99" t="s">
        <v>341</v>
      </c>
      <c r="C77" s="94" t="s">
        <v>319</v>
      </c>
      <c r="D77" s="95">
        <f>'[1]кальк. УЗИ'!T62</f>
        <v>65880.895794261814</v>
      </c>
      <c r="E77" s="95">
        <f>[1]материалы!K313</f>
        <v>450.47436000000005</v>
      </c>
      <c r="F77" s="95">
        <f>D77+E77</f>
        <v>66331.370154261807</v>
      </c>
      <c r="G77" s="157">
        <v>6.59</v>
      </c>
      <c r="H77" s="157">
        <v>0.05</v>
      </c>
      <c r="I77" s="157">
        <f>G77+H77</f>
        <v>6.64</v>
      </c>
      <c r="J77" s="95">
        <v>66400</v>
      </c>
    </row>
    <row r="78" spans="1:10" ht="15.6" x14ac:dyDescent="0.25">
      <c r="A78" s="92">
        <v>43</v>
      </c>
      <c r="B78" s="99" t="s">
        <v>342</v>
      </c>
      <c r="C78" s="94" t="s">
        <v>319</v>
      </c>
      <c r="D78" s="95">
        <f>'[1]кальк. УЗИ'!T64</f>
        <v>65880.895794261814</v>
      </c>
      <c r="E78" s="95">
        <f>[1]материалы!K321</f>
        <v>450.47436000000005</v>
      </c>
      <c r="F78" s="95">
        <f>D78+E78</f>
        <v>66331.370154261807</v>
      </c>
      <c r="G78" s="157">
        <v>6.59</v>
      </c>
      <c r="H78" s="157">
        <v>0.05</v>
      </c>
      <c r="I78" s="157">
        <f>G78+H78</f>
        <v>6.64</v>
      </c>
      <c r="J78" s="95">
        <v>66400</v>
      </c>
    </row>
    <row r="79" spans="1:10" ht="15.6" x14ac:dyDescent="0.25">
      <c r="A79" s="92"/>
      <c r="B79" s="380"/>
      <c r="C79" s="381"/>
      <c r="D79" s="381"/>
      <c r="E79" s="381"/>
      <c r="F79" s="381"/>
      <c r="G79" s="381"/>
      <c r="H79" s="381"/>
      <c r="I79" s="381"/>
      <c r="J79" s="382"/>
    </row>
    <row r="80" spans="1:10" ht="15.6" x14ac:dyDescent="0.25">
      <c r="A80" s="92">
        <v>44</v>
      </c>
      <c r="B80" s="93" t="s">
        <v>408</v>
      </c>
      <c r="C80" s="147" t="s">
        <v>6</v>
      </c>
      <c r="D80" s="95"/>
      <c r="E80" s="95"/>
      <c r="F80" s="95"/>
      <c r="G80" s="157">
        <v>2.58</v>
      </c>
      <c r="H80" s="157">
        <v>0.01</v>
      </c>
      <c r="I80" s="157">
        <v>2.59</v>
      </c>
      <c r="J80" s="95">
        <v>25900</v>
      </c>
    </row>
    <row r="82" spans="2:9" ht="18" hidden="1" x14ac:dyDescent="0.35">
      <c r="B82" s="271" t="s">
        <v>409</v>
      </c>
      <c r="C82" s="273"/>
      <c r="D82" s="274"/>
      <c r="E82" s="5"/>
      <c r="F82" s="271" t="s">
        <v>410</v>
      </c>
      <c r="G82" s="5"/>
      <c r="I82" s="271" t="s">
        <v>410</v>
      </c>
    </row>
  </sheetData>
  <mergeCells count="51">
    <mergeCell ref="B74:J74"/>
    <mergeCell ref="B79:J79"/>
    <mergeCell ref="F62:F63"/>
    <mergeCell ref="G62:G63"/>
    <mergeCell ref="H62:H63"/>
    <mergeCell ref="I62:I63"/>
    <mergeCell ref="J62:J63"/>
    <mergeCell ref="B69:J69"/>
    <mergeCell ref="B44:J44"/>
    <mergeCell ref="B45:J45"/>
    <mergeCell ref="B50:J50"/>
    <mergeCell ref="B51:J51"/>
    <mergeCell ref="B55:J55"/>
    <mergeCell ref="A62:A63"/>
    <mergeCell ref="B62:B63"/>
    <mergeCell ref="C62:C63"/>
    <mergeCell ref="D62:D63"/>
    <mergeCell ref="E62:E63"/>
    <mergeCell ref="B42:J42"/>
    <mergeCell ref="B19:J19"/>
    <mergeCell ref="B24:J24"/>
    <mergeCell ref="B28:J28"/>
    <mergeCell ref="B34:J34"/>
    <mergeCell ref="B36:J36"/>
    <mergeCell ref="F39:F40"/>
    <mergeCell ref="G39:G40"/>
    <mergeCell ref="H39:H40"/>
    <mergeCell ref="I39:I40"/>
    <mergeCell ref="J39:J40"/>
    <mergeCell ref="D15:F15"/>
    <mergeCell ref="G15:I15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39:A40"/>
    <mergeCell ref="B39:B40"/>
    <mergeCell ref="C39:C40"/>
    <mergeCell ref="D39:D40"/>
    <mergeCell ref="E39:E40"/>
    <mergeCell ref="J13:J14"/>
    <mergeCell ref="I1:J1"/>
    <mergeCell ref="A8:J8"/>
    <mergeCell ref="A9:J9"/>
    <mergeCell ref="A10:C10"/>
    <mergeCell ref="A11:C11"/>
  </mergeCells>
  <pageMargins left="0.6692913385826772" right="0.27559055118110237" top="0.23622047244094491" bottom="0.23622047244094491" header="0.23622047244094491" footer="0.23622047244094491"/>
  <pageSetup paperSize="9" fitToHeight="0" orientation="portrait" r:id="rId1"/>
  <headerFooter alignWithMargins="0"/>
  <rowBreaks count="2" manualBreakCount="2">
    <brk id="38" max="9" man="1"/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view="pageBreakPreview" topLeftCell="A7" zoomScale="120" zoomScaleNormal="100" zoomScaleSheetLayoutView="85" workbookViewId="0">
      <selection activeCell="A83" sqref="A83:XFD83"/>
    </sheetView>
  </sheetViews>
  <sheetFormatPr defaultColWidth="9.109375" defaultRowHeight="15" x14ac:dyDescent="0.25"/>
  <cols>
    <col min="1" max="1" width="4.109375" style="86" customWidth="1"/>
    <col min="2" max="2" width="39" style="107" customWidth="1"/>
    <col min="3" max="3" width="9.109375" style="114" customWidth="1"/>
    <col min="4" max="4" width="8.6640625" style="111" hidden="1" customWidth="1"/>
    <col min="5" max="5" width="9.109375" style="111" hidden="1" customWidth="1"/>
    <col min="6" max="6" width="9.6640625" style="111" hidden="1" customWidth="1"/>
    <col min="7" max="7" width="9.44140625" style="111" customWidth="1"/>
    <col min="8" max="8" width="9.88671875" style="111" customWidth="1"/>
    <col min="9" max="9" width="9.77734375" style="111" customWidth="1"/>
    <col min="10" max="10" width="12" style="86" customWidth="1"/>
    <col min="11" max="16384" width="9.109375" style="86"/>
  </cols>
  <sheetData>
    <row r="1" spans="1:10" ht="18" hidden="1" x14ac:dyDescent="0.35">
      <c r="D1" s="272"/>
      <c r="E1" s="272"/>
      <c r="F1" s="272"/>
      <c r="G1" s="272"/>
      <c r="H1" s="272"/>
      <c r="I1" s="360" t="s">
        <v>411</v>
      </c>
      <c r="J1" s="360"/>
    </row>
    <row r="2" spans="1:10" ht="18" hidden="1" x14ac:dyDescent="0.35">
      <c r="A2" s="115"/>
      <c r="B2" s="255"/>
      <c r="C2" s="116"/>
      <c r="D2" s="122"/>
      <c r="E2" s="122"/>
      <c r="F2" s="122"/>
      <c r="G2" s="122"/>
      <c r="H2" s="122"/>
      <c r="J2" s="118" t="s">
        <v>343</v>
      </c>
    </row>
    <row r="3" spans="1:10" ht="26.4" hidden="1" customHeight="1" x14ac:dyDescent="0.35">
      <c r="A3" s="115"/>
      <c r="B3" s="255"/>
      <c r="C3" s="116"/>
      <c r="D3" s="122"/>
      <c r="E3" s="122"/>
      <c r="F3" s="122"/>
      <c r="G3" s="122"/>
      <c r="H3" s="122"/>
      <c r="J3" s="118" t="s">
        <v>344</v>
      </c>
    </row>
    <row r="4" spans="1:10" ht="21.6" hidden="1" customHeight="1" x14ac:dyDescent="0.35">
      <c r="A4" s="115"/>
      <c r="B4" s="255"/>
      <c r="C4" s="116"/>
      <c r="D4" s="122"/>
      <c r="E4" s="122"/>
      <c r="F4" s="122"/>
      <c r="G4" s="122"/>
      <c r="H4" s="122"/>
      <c r="J4" s="118" t="s">
        <v>345</v>
      </c>
    </row>
    <row r="5" spans="1:10" ht="22.8" hidden="1" customHeight="1" x14ac:dyDescent="0.35">
      <c r="A5" s="115"/>
      <c r="B5" s="255"/>
      <c r="C5" s="145"/>
      <c r="D5" s="122"/>
      <c r="E5" s="122"/>
      <c r="F5" s="122"/>
      <c r="G5" s="122"/>
      <c r="H5" s="122"/>
      <c r="J5" s="118" t="s">
        <v>346</v>
      </c>
    </row>
    <row r="6" spans="1:10" ht="22.2" hidden="1" customHeight="1" x14ac:dyDescent="0.35">
      <c r="A6" s="115"/>
      <c r="B6" s="255"/>
      <c r="C6" s="128"/>
      <c r="D6" s="122"/>
      <c r="E6" s="122"/>
      <c r="G6" s="113"/>
      <c r="I6" s="118" t="s">
        <v>406</v>
      </c>
    </row>
    <row r="7" spans="1:10" s="90" customFormat="1" ht="43.95" customHeight="1" x14ac:dyDescent="0.35">
      <c r="A7" s="383" t="s">
        <v>0</v>
      </c>
      <c r="B7" s="383"/>
      <c r="C7" s="383"/>
      <c r="D7" s="383"/>
      <c r="E7" s="383"/>
      <c r="F7" s="383"/>
      <c r="G7" s="383"/>
      <c r="H7" s="383"/>
      <c r="I7" s="383"/>
      <c r="J7" s="383"/>
    </row>
    <row r="8" spans="1:10" s="90" customFormat="1" ht="37.200000000000003" customHeight="1" x14ac:dyDescent="0.2">
      <c r="A8" s="384" t="s">
        <v>314</v>
      </c>
      <c r="B8" s="384"/>
      <c r="C8" s="384"/>
      <c r="D8" s="384"/>
      <c r="E8" s="384"/>
      <c r="F8" s="384"/>
      <c r="G8" s="384"/>
      <c r="H8" s="384"/>
      <c r="I8" s="384"/>
      <c r="J8" s="384"/>
    </row>
    <row r="9" spans="1:10" s="90" customFormat="1" ht="11.25" hidden="1" customHeight="1" x14ac:dyDescent="0.25">
      <c r="A9" s="363"/>
      <c r="B9" s="363"/>
      <c r="C9" s="363"/>
      <c r="D9" s="87"/>
      <c r="E9" s="87"/>
      <c r="F9" s="87"/>
      <c r="G9" s="87"/>
      <c r="H9" s="87"/>
      <c r="I9" s="87"/>
      <c r="J9" s="86"/>
    </row>
    <row r="10" spans="1:10" s="91" customFormat="1" ht="5.4" customHeight="1" x14ac:dyDescent="0.25">
      <c r="A10" s="363"/>
      <c r="B10" s="363"/>
      <c r="C10" s="363"/>
      <c r="D10" s="88"/>
      <c r="E10" s="88"/>
      <c r="F10" s="88"/>
      <c r="G10" s="88"/>
      <c r="H10" s="88"/>
      <c r="I10" s="88"/>
      <c r="J10" s="86"/>
    </row>
    <row r="11" spans="1:10" s="91" customFormat="1" ht="15.6" x14ac:dyDescent="0.3">
      <c r="A11" s="123"/>
      <c r="B11" s="124"/>
      <c r="C11" s="116"/>
      <c r="D11" s="117"/>
      <c r="E11" s="117"/>
      <c r="F11" s="117"/>
      <c r="G11" s="117"/>
      <c r="H11" s="117"/>
      <c r="I11" s="125"/>
      <c r="J11" s="125" t="s">
        <v>407</v>
      </c>
    </row>
    <row r="12" spans="1:10" s="91" customFormat="1" ht="15.6" hidden="1" x14ac:dyDescent="0.3">
      <c r="A12" s="126"/>
      <c r="B12" s="127"/>
      <c r="C12" s="128"/>
      <c r="D12" s="117"/>
      <c r="E12" s="117"/>
      <c r="F12" s="117"/>
      <c r="G12" s="117"/>
      <c r="H12" s="117"/>
      <c r="I12" s="117"/>
      <c r="J12" s="86"/>
    </row>
    <row r="13" spans="1:10" s="91" customFormat="1" ht="38.4" customHeight="1" x14ac:dyDescent="0.2">
      <c r="A13" s="364" t="s">
        <v>1</v>
      </c>
      <c r="B13" s="364" t="s">
        <v>2</v>
      </c>
      <c r="C13" s="364" t="s">
        <v>3</v>
      </c>
      <c r="D13" s="359" t="s">
        <v>172</v>
      </c>
      <c r="E13" s="359" t="s">
        <v>173</v>
      </c>
      <c r="F13" s="368" t="s">
        <v>4</v>
      </c>
      <c r="G13" s="359" t="s">
        <v>176</v>
      </c>
      <c r="H13" s="359" t="s">
        <v>355</v>
      </c>
      <c r="I13" s="359" t="s">
        <v>177</v>
      </c>
      <c r="J13" s="359" t="s">
        <v>356</v>
      </c>
    </row>
    <row r="14" spans="1:10" s="91" customFormat="1" ht="23.4" customHeight="1" x14ac:dyDescent="0.2">
      <c r="A14" s="365"/>
      <c r="B14" s="364"/>
      <c r="C14" s="364"/>
      <c r="D14" s="366"/>
      <c r="E14" s="359"/>
      <c r="F14" s="368"/>
      <c r="G14" s="366"/>
      <c r="H14" s="359"/>
      <c r="I14" s="359"/>
      <c r="J14" s="359"/>
    </row>
    <row r="15" spans="1:10" s="91" customFormat="1" ht="15.6" x14ac:dyDescent="0.3">
      <c r="A15" s="129">
        <v>1</v>
      </c>
      <c r="B15" s="129">
        <v>2</v>
      </c>
      <c r="C15" s="129">
        <v>3</v>
      </c>
      <c r="D15" s="129">
        <v>4</v>
      </c>
      <c r="E15" s="129">
        <v>5</v>
      </c>
      <c r="F15" s="129">
        <v>6</v>
      </c>
      <c r="G15" s="129">
        <v>4</v>
      </c>
      <c r="H15" s="129">
        <v>5</v>
      </c>
      <c r="I15" s="129">
        <v>6</v>
      </c>
      <c r="J15" s="129">
        <v>7</v>
      </c>
    </row>
    <row r="16" spans="1:10" s="91" customFormat="1" ht="15.6" x14ac:dyDescent="0.2">
      <c r="A16" s="92">
        <v>1</v>
      </c>
      <c r="B16" s="93" t="s">
        <v>5</v>
      </c>
      <c r="C16" s="94" t="s">
        <v>6</v>
      </c>
      <c r="D16" s="95">
        <v>34892.761499999993</v>
      </c>
      <c r="E16" s="95">
        <v>112.77</v>
      </c>
      <c r="F16" s="95">
        <v>35005.53149999999</v>
      </c>
      <c r="G16" s="157">
        <v>3.49</v>
      </c>
      <c r="H16" s="157">
        <v>0.01</v>
      </c>
      <c r="I16" s="157">
        <f>G16+H16</f>
        <v>3.5</v>
      </c>
      <c r="J16" s="95">
        <v>35000</v>
      </c>
    </row>
    <row r="17" spans="1:10" s="91" customFormat="1" ht="31.2" x14ac:dyDescent="0.2">
      <c r="A17" s="92">
        <v>2</v>
      </c>
      <c r="B17" s="93" t="s">
        <v>7</v>
      </c>
      <c r="C17" s="96" t="s">
        <v>8</v>
      </c>
      <c r="D17" s="95">
        <v>52339.142250000004</v>
      </c>
      <c r="E17" s="95">
        <v>511.35199999999992</v>
      </c>
      <c r="F17" s="95">
        <v>52850.494250000003</v>
      </c>
      <c r="G17" s="157">
        <v>5.23</v>
      </c>
      <c r="H17" s="157">
        <v>0.05</v>
      </c>
      <c r="I17" s="157">
        <f>G17+H17</f>
        <v>5.28</v>
      </c>
      <c r="J17" s="95">
        <v>52800</v>
      </c>
    </row>
    <row r="18" spans="1:10" s="91" customFormat="1" ht="15.6" x14ac:dyDescent="0.25">
      <c r="A18" s="97"/>
      <c r="B18" s="369" t="s">
        <v>9</v>
      </c>
      <c r="C18" s="370"/>
      <c r="D18" s="370"/>
      <c r="E18" s="370"/>
      <c r="F18" s="370"/>
      <c r="G18" s="370"/>
      <c r="H18" s="370"/>
      <c r="I18" s="370"/>
      <c r="J18" s="372"/>
    </row>
    <row r="19" spans="1:10" s="91" customFormat="1" ht="31.2" x14ac:dyDescent="0.2">
      <c r="A19" s="98">
        <v>3</v>
      </c>
      <c r="B19" s="99" t="s">
        <v>11</v>
      </c>
      <c r="C19" s="94" t="s">
        <v>10</v>
      </c>
      <c r="D19" s="95">
        <v>21809.946984713682</v>
      </c>
      <c r="E19" s="95">
        <v>294.95047058823531</v>
      </c>
      <c r="F19" s="95">
        <v>22104.897455301918</v>
      </c>
      <c r="G19" s="157">
        <v>2.1800000000000002</v>
      </c>
      <c r="H19" s="157">
        <v>0.03</v>
      </c>
      <c r="I19" s="157">
        <f>G19+H19</f>
        <v>2.21</v>
      </c>
      <c r="J19" s="95">
        <v>22100</v>
      </c>
    </row>
    <row r="20" spans="1:10" s="91" customFormat="1" ht="15.6" x14ac:dyDescent="0.2">
      <c r="A20" s="98">
        <v>4</v>
      </c>
      <c r="B20" s="99" t="s">
        <v>12</v>
      </c>
      <c r="C20" s="94" t="s">
        <v>10</v>
      </c>
      <c r="D20" s="95">
        <v>29079.929312951579</v>
      </c>
      <c r="E20" s="95">
        <v>294.95047058823531</v>
      </c>
      <c r="F20" s="95">
        <v>29374.879783539815</v>
      </c>
      <c r="G20" s="157">
        <v>2.91</v>
      </c>
      <c r="H20" s="157">
        <v>0.03</v>
      </c>
      <c r="I20" s="157">
        <f t="shared" ref="I20:I26" si="0">G20+H20</f>
        <v>2.94</v>
      </c>
      <c r="J20" s="95">
        <v>29400</v>
      </c>
    </row>
    <row r="21" spans="1:10" s="91" customFormat="1" ht="15.6" x14ac:dyDescent="0.2">
      <c r="A21" s="98">
        <v>5</v>
      </c>
      <c r="B21" s="99" t="s">
        <v>13</v>
      </c>
      <c r="C21" s="94" t="s">
        <v>10</v>
      </c>
      <c r="D21" s="95">
        <v>29079.929312951579</v>
      </c>
      <c r="E21" s="95">
        <v>328.4733333333333</v>
      </c>
      <c r="F21" s="95">
        <v>29408.402646284911</v>
      </c>
      <c r="G21" s="157">
        <v>2.91</v>
      </c>
      <c r="H21" s="157">
        <v>0.03</v>
      </c>
      <c r="I21" s="157">
        <f t="shared" si="0"/>
        <v>2.94</v>
      </c>
      <c r="J21" s="95">
        <v>29400</v>
      </c>
    </row>
    <row r="22" spans="1:10" s="91" customFormat="1" ht="15.6" x14ac:dyDescent="0.2">
      <c r="A22" s="98">
        <v>6</v>
      </c>
      <c r="B22" s="99" t="s">
        <v>14</v>
      </c>
      <c r="C22" s="94" t="s">
        <v>10</v>
      </c>
      <c r="D22" s="95">
        <v>14539.96465647579</v>
      </c>
      <c r="E22" s="95">
        <v>329.3664705882353</v>
      </c>
      <c r="F22" s="95">
        <v>14869.331127064024</v>
      </c>
      <c r="G22" s="157">
        <v>1.45</v>
      </c>
      <c r="H22" s="157">
        <v>0.03</v>
      </c>
      <c r="I22" s="157">
        <f t="shared" si="0"/>
        <v>1.48</v>
      </c>
      <c r="J22" s="95">
        <v>14800</v>
      </c>
    </row>
    <row r="23" spans="1:10" s="91" customFormat="1" ht="15.6" x14ac:dyDescent="0.3">
      <c r="A23" s="100"/>
      <c r="B23" s="373" t="s">
        <v>15</v>
      </c>
      <c r="C23" s="374"/>
      <c r="D23" s="374"/>
      <c r="E23" s="374"/>
      <c r="F23" s="374"/>
      <c r="G23" s="374"/>
      <c r="H23" s="374"/>
      <c r="I23" s="374"/>
      <c r="J23" s="371"/>
    </row>
    <row r="24" spans="1:10" s="91" customFormat="1" ht="15.6" x14ac:dyDescent="0.2">
      <c r="A24" s="98">
        <v>7</v>
      </c>
      <c r="B24" s="99" t="s">
        <v>16</v>
      </c>
      <c r="C24" s="94" t="s">
        <v>10</v>
      </c>
      <c r="D24" s="95">
        <v>14539.96465647579</v>
      </c>
      <c r="E24" s="95">
        <v>218.774</v>
      </c>
      <c r="F24" s="95">
        <v>14758.738656475789</v>
      </c>
      <c r="G24" s="157">
        <v>1.45</v>
      </c>
      <c r="H24" s="157">
        <v>0.02</v>
      </c>
      <c r="I24" s="157">
        <f t="shared" si="0"/>
        <v>1.47</v>
      </c>
      <c r="J24" s="95">
        <v>14700</v>
      </c>
    </row>
    <row r="25" spans="1:10" s="91" customFormat="1" ht="31.2" x14ac:dyDescent="0.2">
      <c r="A25" s="98">
        <v>8</v>
      </c>
      <c r="B25" s="99" t="s">
        <v>17</v>
      </c>
      <c r="C25" s="94" t="s">
        <v>10</v>
      </c>
      <c r="D25" s="95">
        <v>14539.96465647579</v>
      </c>
      <c r="E25" s="95">
        <v>218.774</v>
      </c>
      <c r="F25" s="95">
        <v>14758.738656475789</v>
      </c>
      <c r="G25" s="157">
        <v>1.45</v>
      </c>
      <c r="H25" s="157">
        <v>0.02</v>
      </c>
      <c r="I25" s="157">
        <f t="shared" si="0"/>
        <v>1.47</v>
      </c>
      <c r="J25" s="95">
        <v>14700</v>
      </c>
    </row>
    <row r="26" spans="1:10" s="91" customFormat="1" ht="31.2" x14ac:dyDescent="0.2">
      <c r="A26" s="98">
        <v>9</v>
      </c>
      <c r="B26" s="99" t="s">
        <v>18</v>
      </c>
      <c r="C26" s="94" t="s">
        <v>10</v>
      </c>
      <c r="D26" s="95">
        <v>14539.96465647579</v>
      </c>
      <c r="E26" s="95">
        <v>218.774</v>
      </c>
      <c r="F26" s="95">
        <v>14758.738656475789</v>
      </c>
      <c r="G26" s="157">
        <v>1.45</v>
      </c>
      <c r="H26" s="157">
        <v>0.02</v>
      </c>
      <c r="I26" s="157">
        <f t="shared" si="0"/>
        <v>1.47</v>
      </c>
      <c r="J26" s="95">
        <v>14700</v>
      </c>
    </row>
    <row r="27" spans="1:10" s="91" customFormat="1" ht="15.75" customHeight="1" x14ac:dyDescent="0.2">
      <c r="A27" s="100"/>
      <c r="B27" s="369" t="s">
        <v>19</v>
      </c>
      <c r="C27" s="370"/>
      <c r="D27" s="370"/>
      <c r="E27" s="370"/>
      <c r="F27" s="370"/>
      <c r="G27" s="370"/>
      <c r="H27" s="370"/>
      <c r="I27" s="370"/>
      <c r="J27" s="372"/>
    </row>
    <row r="28" spans="1:10" s="91" customFormat="1" ht="15.6" x14ac:dyDescent="0.2">
      <c r="A28" s="98">
        <v>10</v>
      </c>
      <c r="B28" s="99" t="s">
        <v>20</v>
      </c>
      <c r="C28" s="94" t="s">
        <v>10</v>
      </c>
      <c r="D28" s="95">
        <v>29079.929312951579</v>
      </c>
      <c r="E28" s="95">
        <v>811.1253333333334</v>
      </c>
      <c r="F28" s="95">
        <v>29891.054646284912</v>
      </c>
      <c r="G28" s="157">
        <v>2.91</v>
      </c>
      <c r="H28" s="157">
        <v>0.08</v>
      </c>
      <c r="I28" s="157">
        <f t="shared" ref="I28:I43" si="1">G28+H28</f>
        <v>2.99</v>
      </c>
      <c r="J28" s="95">
        <v>29900</v>
      </c>
    </row>
    <row r="29" spans="1:10" s="91" customFormat="1" ht="15.6" x14ac:dyDescent="0.2">
      <c r="A29" s="98">
        <v>11</v>
      </c>
      <c r="B29" s="99" t="s">
        <v>21</v>
      </c>
      <c r="C29" s="94" t="s">
        <v>10</v>
      </c>
      <c r="D29" s="95">
        <v>29079.929312951579</v>
      </c>
      <c r="E29" s="95">
        <v>1758.2933333333333</v>
      </c>
      <c r="F29" s="95">
        <v>30838.222646284914</v>
      </c>
      <c r="G29" s="157">
        <v>2.91</v>
      </c>
      <c r="H29" s="157">
        <v>0.18</v>
      </c>
      <c r="I29" s="157">
        <f t="shared" si="1"/>
        <v>3.0900000000000003</v>
      </c>
      <c r="J29" s="95">
        <v>30900</v>
      </c>
    </row>
    <row r="30" spans="1:10" s="91" customFormat="1" ht="31.2" x14ac:dyDescent="0.2">
      <c r="A30" s="98">
        <v>12</v>
      </c>
      <c r="B30" s="99" t="s">
        <v>315</v>
      </c>
      <c r="C30" s="94" t="s">
        <v>10</v>
      </c>
      <c r="D30" s="95">
        <v>36349.911641189479</v>
      </c>
      <c r="E30" s="95">
        <v>124.03999999999999</v>
      </c>
      <c r="F30" s="95">
        <v>36473.95164118948</v>
      </c>
      <c r="G30" s="157">
        <v>3.63</v>
      </c>
      <c r="H30" s="157">
        <v>0.01</v>
      </c>
      <c r="I30" s="157">
        <f t="shared" si="1"/>
        <v>3.6399999999999997</v>
      </c>
      <c r="J30" s="95">
        <v>36500</v>
      </c>
    </row>
    <row r="31" spans="1:10" s="91" customFormat="1" ht="46.8" x14ac:dyDescent="0.2">
      <c r="A31" s="98">
        <v>13</v>
      </c>
      <c r="B31" s="99" t="s">
        <v>22</v>
      </c>
      <c r="C31" s="94" t="s">
        <v>10</v>
      </c>
      <c r="D31" s="95">
        <v>36349.911641189479</v>
      </c>
      <c r="E31" s="95">
        <v>190.79000000000002</v>
      </c>
      <c r="F31" s="95">
        <v>36540.70164118948</v>
      </c>
      <c r="G31" s="157">
        <v>3.63</v>
      </c>
      <c r="H31" s="157">
        <v>0.02</v>
      </c>
      <c r="I31" s="157">
        <f t="shared" si="1"/>
        <v>3.65</v>
      </c>
      <c r="J31" s="95">
        <v>36500</v>
      </c>
    </row>
    <row r="32" spans="1:10" s="91" customFormat="1" ht="46.8" x14ac:dyDescent="0.2">
      <c r="A32" s="98">
        <v>14</v>
      </c>
      <c r="B32" s="99" t="s">
        <v>23</v>
      </c>
      <c r="C32" s="94" t="s">
        <v>10</v>
      </c>
      <c r="D32" s="95">
        <v>36349.911641189479</v>
      </c>
      <c r="E32" s="95">
        <v>218.774</v>
      </c>
      <c r="F32" s="95">
        <v>36568.685641189477</v>
      </c>
      <c r="G32" s="157">
        <v>3.63</v>
      </c>
      <c r="H32" s="157">
        <v>0.02</v>
      </c>
      <c r="I32" s="157">
        <f t="shared" si="1"/>
        <v>3.65</v>
      </c>
      <c r="J32" s="95">
        <v>36500</v>
      </c>
    </row>
    <row r="33" spans="1:10" s="91" customFormat="1" ht="15.75" customHeight="1" x14ac:dyDescent="0.2">
      <c r="A33" s="100"/>
      <c r="B33" s="369" t="s">
        <v>24</v>
      </c>
      <c r="C33" s="370"/>
      <c r="D33" s="370"/>
      <c r="E33" s="370"/>
      <c r="F33" s="370"/>
      <c r="G33" s="370"/>
      <c r="H33" s="370"/>
      <c r="I33" s="370"/>
      <c r="J33" s="372"/>
    </row>
    <row r="34" spans="1:10" s="91" customFormat="1" ht="28.8" x14ac:dyDescent="0.2">
      <c r="A34" s="98">
        <v>15</v>
      </c>
      <c r="B34" s="99" t="s">
        <v>25</v>
      </c>
      <c r="C34" s="94" t="s">
        <v>10</v>
      </c>
      <c r="D34" s="95">
        <v>14539.96465647579</v>
      </c>
      <c r="E34" s="95">
        <v>142.92000000000002</v>
      </c>
      <c r="F34" s="95">
        <v>14682.88465647579</v>
      </c>
      <c r="G34" s="157">
        <v>1.45</v>
      </c>
      <c r="H34" s="157">
        <v>0.01</v>
      </c>
      <c r="I34" s="157">
        <f t="shared" si="1"/>
        <v>1.46</v>
      </c>
      <c r="J34" s="95">
        <v>14600</v>
      </c>
    </row>
    <row r="35" spans="1:10" s="91" customFormat="1" ht="40.200000000000003" customHeight="1" x14ac:dyDescent="0.2">
      <c r="A35" s="364" t="s">
        <v>1</v>
      </c>
      <c r="B35" s="364" t="s">
        <v>2</v>
      </c>
      <c r="C35" s="364" t="s">
        <v>3</v>
      </c>
      <c r="D35" s="359" t="s">
        <v>172</v>
      </c>
      <c r="E35" s="359" t="s">
        <v>173</v>
      </c>
      <c r="F35" s="368" t="s">
        <v>4</v>
      </c>
      <c r="G35" s="359" t="s">
        <v>176</v>
      </c>
      <c r="H35" s="359" t="s">
        <v>355</v>
      </c>
      <c r="I35" s="359" t="s">
        <v>177</v>
      </c>
      <c r="J35" s="359" t="s">
        <v>356</v>
      </c>
    </row>
    <row r="36" spans="1:10" s="91" customFormat="1" ht="25.8" customHeight="1" x14ac:dyDescent="0.2">
      <c r="A36" s="365"/>
      <c r="B36" s="364"/>
      <c r="C36" s="364"/>
      <c r="D36" s="366"/>
      <c r="E36" s="359"/>
      <c r="F36" s="368"/>
      <c r="G36" s="366"/>
      <c r="H36" s="359"/>
      <c r="I36" s="359"/>
      <c r="J36" s="359"/>
    </row>
    <row r="37" spans="1:10" s="91" customFormat="1" ht="15.6" x14ac:dyDescent="0.3">
      <c r="A37" s="129">
        <v>1</v>
      </c>
      <c r="B37" s="129">
        <v>2</v>
      </c>
      <c r="C37" s="129">
        <v>3</v>
      </c>
      <c r="D37" s="129">
        <v>4</v>
      </c>
      <c r="E37" s="129">
        <v>5</v>
      </c>
      <c r="F37" s="129">
        <v>6</v>
      </c>
      <c r="G37" s="129">
        <v>4</v>
      </c>
      <c r="H37" s="129">
        <v>5</v>
      </c>
      <c r="I37" s="129">
        <v>6</v>
      </c>
      <c r="J37" s="129">
        <v>7</v>
      </c>
    </row>
    <row r="38" spans="1:10" s="91" customFormat="1" ht="15.6" x14ac:dyDescent="0.2">
      <c r="A38" s="100"/>
      <c r="B38" s="369" t="s">
        <v>26</v>
      </c>
      <c r="C38" s="370"/>
      <c r="D38" s="370"/>
      <c r="E38" s="370"/>
      <c r="F38" s="370"/>
      <c r="G38" s="370"/>
      <c r="H38" s="370"/>
      <c r="I38" s="370"/>
      <c r="J38" s="372"/>
    </row>
    <row r="39" spans="1:10" s="91" customFormat="1" ht="34.200000000000003" customHeight="1" x14ac:dyDescent="0.2">
      <c r="A39" s="98">
        <v>16</v>
      </c>
      <c r="B39" s="99" t="s">
        <v>27</v>
      </c>
      <c r="C39" s="94" t="s">
        <v>10</v>
      </c>
      <c r="D39" s="95">
        <v>59883.113696300286</v>
      </c>
      <c r="E39" s="95">
        <v>21641.651399999999</v>
      </c>
      <c r="F39" s="95">
        <v>81524.765096300282</v>
      </c>
      <c r="G39" s="157">
        <v>5.99</v>
      </c>
      <c r="H39" s="157">
        <v>2.16</v>
      </c>
      <c r="I39" s="157">
        <f t="shared" si="1"/>
        <v>8.15</v>
      </c>
      <c r="J39" s="95">
        <v>81500</v>
      </c>
    </row>
    <row r="40" spans="1:10" s="91" customFormat="1" ht="12" hidden="1" customHeight="1" x14ac:dyDescent="0.2">
      <c r="A40" s="100"/>
      <c r="B40" s="369" t="s">
        <v>28</v>
      </c>
      <c r="C40" s="370"/>
      <c r="D40" s="370"/>
      <c r="E40" s="370"/>
      <c r="F40" s="370"/>
      <c r="G40" s="370"/>
      <c r="H40" s="370"/>
      <c r="I40" s="370"/>
      <c r="J40" s="370"/>
    </row>
    <row r="41" spans="1:10" s="91" customFormat="1" ht="31.2" x14ac:dyDescent="0.2">
      <c r="A41" s="98">
        <v>17</v>
      </c>
      <c r="B41" s="99" t="s">
        <v>29</v>
      </c>
      <c r="C41" s="94" t="s">
        <v>10</v>
      </c>
      <c r="D41" s="95">
        <v>29941.556848150143</v>
      </c>
      <c r="E41" s="95">
        <v>23583.54</v>
      </c>
      <c r="F41" s="95">
        <v>53525.096848150148</v>
      </c>
      <c r="G41" s="157">
        <v>2.99</v>
      </c>
      <c r="H41" s="157">
        <v>2.36</v>
      </c>
      <c r="I41" s="157">
        <f t="shared" si="1"/>
        <v>5.35</v>
      </c>
      <c r="J41" s="95">
        <v>53500</v>
      </c>
    </row>
    <row r="42" spans="1:10" s="91" customFormat="1" ht="15.6" x14ac:dyDescent="0.3">
      <c r="A42" s="100"/>
      <c r="B42" s="369" t="s">
        <v>30</v>
      </c>
      <c r="C42" s="370"/>
      <c r="D42" s="370"/>
      <c r="E42" s="370"/>
      <c r="F42" s="370"/>
      <c r="G42" s="370"/>
      <c r="H42" s="370"/>
      <c r="I42" s="370"/>
      <c r="J42" s="371"/>
    </row>
    <row r="43" spans="1:10" s="91" customFormat="1" ht="31.2" x14ac:dyDescent="0.2">
      <c r="A43" s="98">
        <v>18</v>
      </c>
      <c r="B43" s="99" t="s">
        <v>31</v>
      </c>
      <c r="C43" s="94" t="s">
        <v>10</v>
      </c>
      <c r="D43" s="95">
        <v>29079.929312951579</v>
      </c>
      <c r="E43" s="95">
        <v>4144.9480000000003</v>
      </c>
      <c r="F43" s="95">
        <v>33224.877312951576</v>
      </c>
      <c r="G43" s="157">
        <v>2.91</v>
      </c>
      <c r="H43" s="157">
        <v>0.41</v>
      </c>
      <c r="I43" s="157">
        <f t="shared" si="1"/>
        <v>3.3200000000000003</v>
      </c>
      <c r="J43" s="95">
        <v>33200</v>
      </c>
    </row>
    <row r="44" spans="1:10" s="91" customFormat="1" ht="15.6" x14ac:dyDescent="0.2">
      <c r="A44" s="373" t="s">
        <v>32</v>
      </c>
      <c r="B44" s="374"/>
      <c r="C44" s="374"/>
      <c r="D44" s="374"/>
      <c r="E44" s="374"/>
      <c r="F44" s="374"/>
      <c r="G44" s="374"/>
      <c r="H44" s="374"/>
      <c r="I44" s="374"/>
      <c r="J44" s="385"/>
    </row>
    <row r="45" spans="1:10" s="91" customFormat="1" ht="15.75" customHeight="1" x14ac:dyDescent="0.3">
      <c r="A45" s="275"/>
      <c r="B45" s="377" t="s">
        <v>33</v>
      </c>
      <c r="C45" s="378"/>
      <c r="D45" s="378"/>
      <c r="E45" s="378"/>
      <c r="F45" s="378"/>
      <c r="G45" s="378"/>
      <c r="H45" s="378"/>
      <c r="I45" s="378"/>
      <c r="J45" s="379"/>
    </row>
    <row r="46" spans="1:10" s="91" customFormat="1" ht="78" x14ac:dyDescent="0.2">
      <c r="A46" s="101">
        <v>19</v>
      </c>
      <c r="B46" s="99" t="s">
        <v>34</v>
      </c>
      <c r="C46" s="94" t="s">
        <v>10</v>
      </c>
      <c r="D46" s="95">
        <v>42028.68110742679</v>
      </c>
      <c r="E46" s="95">
        <v>958.1</v>
      </c>
      <c r="F46" s="95">
        <v>42986.781107426788</v>
      </c>
      <c r="G46" s="157">
        <v>4.2</v>
      </c>
      <c r="H46" s="157">
        <v>0.1</v>
      </c>
      <c r="I46" s="157">
        <f>G46+H46</f>
        <v>4.3</v>
      </c>
      <c r="J46" s="95">
        <v>43000</v>
      </c>
    </row>
    <row r="47" spans="1:10" s="91" customFormat="1" ht="46.8" x14ac:dyDescent="0.2">
      <c r="A47" s="101">
        <v>20</v>
      </c>
      <c r="B47" s="99" t="s">
        <v>35</v>
      </c>
      <c r="C47" s="94" t="s">
        <v>10</v>
      </c>
      <c r="D47" s="95">
        <v>28019.12073828452</v>
      </c>
      <c r="E47" s="95">
        <v>1071.8399999999999</v>
      </c>
      <c r="F47" s="95">
        <v>29090.960738284521</v>
      </c>
      <c r="G47" s="157">
        <v>2.8</v>
      </c>
      <c r="H47" s="157">
        <v>0.11</v>
      </c>
      <c r="I47" s="157">
        <f>G47+H47</f>
        <v>2.9099999999999997</v>
      </c>
      <c r="J47" s="95">
        <v>29100</v>
      </c>
    </row>
    <row r="48" spans="1:10" s="91" customFormat="1" ht="93.6" x14ac:dyDescent="0.2">
      <c r="A48" s="101">
        <v>21</v>
      </c>
      <c r="B48" s="99" t="s">
        <v>36</v>
      </c>
      <c r="C48" s="94" t="s">
        <v>10</v>
      </c>
      <c r="D48" s="95">
        <v>49633.871022104009</v>
      </c>
      <c r="E48" s="95">
        <v>1071.8399999999999</v>
      </c>
      <c r="F48" s="95">
        <v>50705.711022104006</v>
      </c>
      <c r="G48" s="157">
        <v>4.96</v>
      </c>
      <c r="H48" s="157">
        <v>0.11</v>
      </c>
      <c r="I48" s="157">
        <f>G48+H48</f>
        <v>5.07</v>
      </c>
      <c r="J48" s="95">
        <v>50700</v>
      </c>
    </row>
    <row r="49" spans="1:11" s="91" customFormat="1" ht="78" x14ac:dyDescent="0.2">
      <c r="A49" s="101">
        <v>22</v>
      </c>
      <c r="B49" s="99" t="s">
        <v>37</v>
      </c>
      <c r="C49" s="94" t="s">
        <v>10</v>
      </c>
      <c r="D49" s="95">
        <v>58039.607243589358</v>
      </c>
      <c r="E49" s="95">
        <v>1071.8399999999999</v>
      </c>
      <c r="F49" s="95">
        <v>59111.447243589355</v>
      </c>
      <c r="G49" s="157">
        <v>5.8</v>
      </c>
      <c r="H49" s="157">
        <v>0.11</v>
      </c>
      <c r="I49" s="157">
        <f>G49+H49</f>
        <v>5.91</v>
      </c>
      <c r="J49" s="95">
        <v>59100</v>
      </c>
    </row>
    <row r="50" spans="1:11" s="91" customFormat="1" ht="15.6" x14ac:dyDescent="0.3">
      <c r="A50" s="386" t="s">
        <v>316</v>
      </c>
      <c r="B50" s="387"/>
      <c r="C50" s="387"/>
      <c r="D50" s="387"/>
      <c r="E50" s="387"/>
      <c r="F50" s="387"/>
      <c r="G50" s="387"/>
      <c r="H50" s="387"/>
      <c r="I50" s="387"/>
      <c r="J50" s="388"/>
    </row>
    <row r="51" spans="1:11" s="91" customFormat="1" ht="15.6" x14ac:dyDescent="0.25">
      <c r="A51" s="97"/>
      <c r="B51" s="369" t="s">
        <v>317</v>
      </c>
      <c r="C51" s="370"/>
      <c r="D51" s="370"/>
      <c r="E51" s="370"/>
      <c r="F51" s="370"/>
      <c r="G51" s="370"/>
      <c r="H51" s="370"/>
      <c r="I51" s="370"/>
      <c r="J51" s="372"/>
    </row>
    <row r="52" spans="1:11" s="91" customFormat="1" ht="31.2" x14ac:dyDescent="0.2">
      <c r="A52" s="92">
        <v>23</v>
      </c>
      <c r="B52" s="99" t="s">
        <v>318</v>
      </c>
      <c r="C52" s="94" t="s">
        <v>319</v>
      </c>
      <c r="D52" s="95">
        <v>52704.716635409452</v>
      </c>
      <c r="E52" s="95">
        <v>617.55163636363636</v>
      </c>
      <c r="F52" s="95">
        <v>53322.268271773086</v>
      </c>
      <c r="G52" s="157">
        <v>5.27</v>
      </c>
      <c r="H52" s="157">
        <v>0.06</v>
      </c>
      <c r="I52" s="157">
        <f t="shared" ref="I52:I68" si="2">G52+H52</f>
        <v>5.3299999999999992</v>
      </c>
      <c r="J52" s="95">
        <v>53300</v>
      </c>
    </row>
    <row r="53" spans="1:11" s="91" customFormat="1" ht="15.6" x14ac:dyDescent="0.2">
      <c r="A53" s="92">
        <v>24</v>
      </c>
      <c r="B53" s="99" t="s">
        <v>320</v>
      </c>
      <c r="C53" s="94" t="s">
        <v>319</v>
      </c>
      <c r="D53" s="95">
        <v>52704.716635409452</v>
      </c>
      <c r="E53" s="95">
        <v>450.47436000000005</v>
      </c>
      <c r="F53" s="95">
        <v>53155.190995409452</v>
      </c>
      <c r="G53" s="157">
        <v>5.27</v>
      </c>
      <c r="H53" s="157">
        <v>0.05</v>
      </c>
      <c r="I53" s="157">
        <f t="shared" si="2"/>
        <v>5.3199999999999994</v>
      </c>
      <c r="J53" s="95">
        <v>53200</v>
      </c>
    </row>
    <row r="54" spans="1:11" s="91" customFormat="1" ht="15.6" x14ac:dyDescent="0.2">
      <c r="A54" s="92">
        <v>25</v>
      </c>
      <c r="B54" s="99" t="s">
        <v>321</v>
      </c>
      <c r="C54" s="94" t="s">
        <v>319</v>
      </c>
      <c r="D54" s="95">
        <v>35136.477756939632</v>
      </c>
      <c r="E54" s="95">
        <v>450.47436000000005</v>
      </c>
      <c r="F54" s="95">
        <v>35586.952116939632</v>
      </c>
      <c r="G54" s="157">
        <v>3.51</v>
      </c>
      <c r="H54" s="157">
        <v>0.05</v>
      </c>
      <c r="I54" s="157">
        <f t="shared" si="2"/>
        <v>3.5599999999999996</v>
      </c>
      <c r="J54" s="95">
        <v>35600</v>
      </c>
    </row>
    <row r="55" spans="1:11" s="90" customFormat="1" ht="15.6" x14ac:dyDescent="0.25">
      <c r="A55" s="97"/>
      <c r="B55" s="369" t="s">
        <v>322</v>
      </c>
      <c r="C55" s="370"/>
      <c r="D55" s="370"/>
      <c r="E55" s="370"/>
      <c r="F55" s="370"/>
      <c r="G55" s="370"/>
      <c r="H55" s="370"/>
      <c r="I55" s="370"/>
      <c r="J55" s="372"/>
      <c r="K55" s="91"/>
    </row>
    <row r="56" spans="1:11" s="90" customFormat="1" ht="15.6" x14ac:dyDescent="0.2">
      <c r="A56" s="92">
        <v>26</v>
      </c>
      <c r="B56" s="99" t="s">
        <v>323</v>
      </c>
      <c r="C56" s="94" t="s">
        <v>319</v>
      </c>
      <c r="D56" s="95">
        <v>70272.955513879264</v>
      </c>
      <c r="E56" s="95">
        <v>450.47436000000005</v>
      </c>
      <c r="F56" s="95">
        <v>70723.429873879257</v>
      </c>
      <c r="G56" s="157">
        <v>7.03</v>
      </c>
      <c r="H56" s="157">
        <v>0.05</v>
      </c>
      <c r="I56" s="157">
        <f t="shared" si="2"/>
        <v>7.08</v>
      </c>
      <c r="J56" s="95">
        <v>70800</v>
      </c>
      <c r="K56" s="91"/>
    </row>
    <row r="57" spans="1:11" s="90" customFormat="1" ht="15.6" x14ac:dyDescent="0.2">
      <c r="A57" s="92">
        <v>27</v>
      </c>
      <c r="B57" s="99" t="s">
        <v>324</v>
      </c>
      <c r="C57" s="94" t="s">
        <v>319</v>
      </c>
      <c r="D57" s="95">
        <v>35136.477756939632</v>
      </c>
      <c r="E57" s="95">
        <v>450.47436000000005</v>
      </c>
      <c r="F57" s="95">
        <v>35586.952116939632</v>
      </c>
      <c r="G57" s="157">
        <v>3.51</v>
      </c>
      <c r="H57" s="157">
        <v>0.05</v>
      </c>
      <c r="I57" s="157">
        <f t="shared" si="2"/>
        <v>3.5599999999999996</v>
      </c>
      <c r="J57" s="95">
        <v>35600</v>
      </c>
      <c r="K57" s="91"/>
    </row>
    <row r="58" spans="1:11" s="91" customFormat="1" ht="31.2" x14ac:dyDescent="0.2">
      <c r="A58" s="92">
        <v>28</v>
      </c>
      <c r="B58" s="99" t="s">
        <v>325</v>
      </c>
      <c r="C58" s="94" t="s">
        <v>319</v>
      </c>
      <c r="D58" s="95">
        <v>52704.716635409452</v>
      </c>
      <c r="E58" s="95">
        <v>450.47436000000005</v>
      </c>
      <c r="F58" s="95">
        <v>53155.190995409452</v>
      </c>
      <c r="G58" s="157">
        <v>5.27</v>
      </c>
      <c r="H58" s="157">
        <v>0.05</v>
      </c>
      <c r="I58" s="157">
        <f t="shared" si="2"/>
        <v>5.3199999999999994</v>
      </c>
      <c r="J58" s="95">
        <v>53200</v>
      </c>
    </row>
    <row r="59" spans="1:11" s="91" customFormat="1" ht="31.2" x14ac:dyDescent="0.2">
      <c r="A59" s="92">
        <v>29</v>
      </c>
      <c r="B59" s="99" t="s">
        <v>326</v>
      </c>
      <c r="C59" s="94" t="s">
        <v>319</v>
      </c>
      <c r="D59" s="95">
        <v>87841.194392349076</v>
      </c>
      <c r="E59" s="95">
        <v>450.47436000000005</v>
      </c>
      <c r="F59" s="95">
        <v>88291.668752349069</v>
      </c>
      <c r="G59" s="157">
        <v>87.8</v>
      </c>
      <c r="H59" s="157">
        <v>0.05</v>
      </c>
      <c r="I59" s="157">
        <f t="shared" si="2"/>
        <v>87.85</v>
      </c>
      <c r="J59" s="95">
        <v>88300</v>
      </c>
    </row>
    <row r="60" spans="1:11" s="91" customFormat="1" ht="43.8" customHeight="1" x14ac:dyDescent="0.2">
      <c r="A60" s="364" t="s">
        <v>1</v>
      </c>
      <c r="B60" s="364" t="s">
        <v>2</v>
      </c>
      <c r="C60" s="364" t="s">
        <v>3</v>
      </c>
      <c r="D60" s="359" t="s">
        <v>172</v>
      </c>
      <c r="E60" s="359" t="s">
        <v>173</v>
      </c>
      <c r="F60" s="368" t="s">
        <v>4</v>
      </c>
      <c r="G60" s="359" t="s">
        <v>176</v>
      </c>
      <c r="H60" s="359" t="s">
        <v>355</v>
      </c>
      <c r="I60" s="359" t="s">
        <v>177</v>
      </c>
      <c r="J60" s="359" t="s">
        <v>356</v>
      </c>
    </row>
    <row r="61" spans="1:11" s="91" customFormat="1" ht="31.2" customHeight="1" x14ac:dyDescent="0.2">
      <c r="A61" s="365"/>
      <c r="B61" s="364"/>
      <c r="C61" s="364"/>
      <c r="D61" s="366"/>
      <c r="E61" s="359"/>
      <c r="F61" s="368"/>
      <c r="G61" s="366"/>
      <c r="H61" s="359"/>
      <c r="I61" s="359"/>
      <c r="J61" s="359"/>
    </row>
    <row r="62" spans="1:11" s="91" customFormat="1" ht="15.6" x14ac:dyDescent="0.3">
      <c r="A62" s="129">
        <v>1</v>
      </c>
      <c r="B62" s="129">
        <v>2</v>
      </c>
      <c r="C62" s="129">
        <v>3</v>
      </c>
      <c r="D62" s="129">
        <v>4</v>
      </c>
      <c r="E62" s="129">
        <v>5</v>
      </c>
      <c r="F62" s="129">
        <v>6</v>
      </c>
      <c r="G62" s="129">
        <v>4</v>
      </c>
      <c r="H62" s="129">
        <v>5</v>
      </c>
      <c r="I62" s="129">
        <v>6</v>
      </c>
      <c r="J62" s="129">
        <v>7</v>
      </c>
    </row>
    <row r="63" spans="1:11" s="91" customFormat="1" ht="46.8" x14ac:dyDescent="0.2">
      <c r="A63" s="92">
        <v>30</v>
      </c>
      <c r="B63" s="99" t="s">
        <v>327</v>
      </c>
      <c r="C63" s="94" t="s">
        <v>319</v>
      </c>
      <c r="D63" s="95">
        <v>105409.4332708189</v>
      </c>
      <c r="E63" s="95">
        <v>450.47436000000005</v>
      </c>
      <c r="F63" s="95">
        <v>105859.9076308189</v>
      </c>
      <c r="G63" s="157">
        <v>10.54</v>
      </c>
      <c r="H63" s="157">
        <v>0.05</v>
      </c>
      <c r="I63" s="157">
        <f t="shared" si="2"/>
        <v>10.59</v>
      </c>
      <c r="J63" s="95">
        <v>105900</v>
      </c>
    </row>
    <row r="64" spans="1:11" s="91" customFormat="1" ht="12" hidden="1" customHeight="1" x14ac:dyDescent="0.2">
      <c r="A64" s="92">
        <v>31</v>
      </c>
      <c r="B64" s="99" t="s">
        <v>328</v>
      </c>
      <c r="C64" s="94" t="s">
        <v>319</v>
      </c>
      <c r="D64" s="95">
        <v>70272.955513879264</v>
      </c>
      <c r="E64" s="95">
        <v>450.47436000000005</v>
      </c>
      <c r="F64" s="95">
        <v>70723.429873879257</v>
      </c>
      <c r="G64" s="157">
        <v>7.03</v>
      </c>
      <c r="H64" s="157">
        <v>0.05</v>
      </c>
      <c r="I64" s="157">
        <f t="shared" si="2"/>
        <v>7.08</v>
      </c>
      <c r="J64" s="95">
        <v>70800</v>
      </c>
    </row>
    <row r="65" spans="1:10" s="91" customFormat="1" ht="46.8" x14ac:dyDescent="0.2">
      <c r="A65" s="92">
        <v>31</v>
      </c>
      <c r="B65" s="99" t="s">
        <v>328</v>
      </c>
      <c r="C65" s="94" t="s">
        <v>319</v>
      </c>
      <c r="D65" s="95">
        <v>70272.955513879264</v>
      </c>
      <c r="E65" s="95">
        <v>450.47436000000005</v>
      </c>
      <c r="F65" s="95">
        <v>70723.429873879257</v>
      </c>
      <c r="G65" s="157">
        <v>7.03</v>
      </c>
      <c r="H65" s="157">
        <v>0.05</v>
      </c>
      <c r="I65" s="157">
        <f t="shared" si="2"/>
        <v>7.08</v>
      </c>
      <c r="J65" s="95">
        <v>70800</v>
      </c>
    </row>
    <row r="66" spans="1:10" s="91" customFormat="1" ht="15.6" x14ac:dyDescent="0.2">
      <c r="A66" s="92">
        <v>32</v>
      </c>
      <c r="B66" s="99" t="s">
        <v>329</v>
      </c>
      <c r="C66" s="94" t="s">
        <v>319</v>
      </c>
      <c r="D66" s="95">
        <v>52704.716635409452</v>
      </c>
      <c r="E66" s="95">
        <v>4300.4743600000002</v>
      </c>
      <c r="F66" s="95">
        <v>57005.190995409452</v>
      </c>
      <c r="G66" s="157">
        <v>5.27</v>
      </c>
      <c r="H66" s="157">
        <v>0.05</v>
      </c>
      <c r="I66" s="157">
        <f t="shared" si="2"/>
        <v>5.3199999999999994</v>
      </c>
      <c r="J66" s="95">
        <v>57000</v>
      </c>
    </row>
    <row r="67" spans="1:10" s="91" customFormat="1" ht="31.2" x14ac:dyDescent="0.2">
      <c r="A67" s="92">
        <v>33</v>
      </c>
      <c r="B67" s="99" t="s">
        <v>330</v>
      </c>
      <c r="C67" s="94" t="s">
        <v>319</v>
      </c>
      <c r="D67" s="95">
        <v>70272.955513879264</v>
      </c>
      <c r="E67" s="95">
        <v>450.47436000000005</v>
      </c>
      <c r="F67" s="95">
        <v>70723.429873879257</v>
      </c>
      <c r="G67" s="157">
        <v>7.03</v>
      </c>
      <c r="H67" s="157">
        <v>0.05</v>
      </c>
      <c r="I67" s="157">
        <f t="shared" si="2"/>
        <v>7.08</v>
      </c>
      <c r="J67" s="95">
        <v>70800</v>
      </c>
    </row>
    <row r="68" spans="1:10" s="91" customFormat="1" ht="15.6" x14ac:dyDescent="0.2">
      <c r="A68" s="92">
        <v>34</v>
      </c>
      <c r="B68" s="99" t="s">
        <v>331</v>
      </c>
      <c r="C68" s="94" t="s">
        <v>319</v>
      </c>
      <c r="D68" s="95">
        <v>70272.955513879264</v>
      </c>
      <c r="E68" s="95">
        <v>4300.4743600000002</v>
      </c>
      <c r="F68" s="95">
        <v>74573.429873879271</v>
      </c>
      <c r="G68" s="157">
        <v>7.03</v>
      </c>
      <c r="H68" s="157">
        <v>0.05</v>
      </c>
      <c r="I68" s="157">
        <f t="shared" si="2"/>
        <v>7.08</v>
      </c>
      <c r="J68" s="95">
        <v>74600</v>
      </c>
    </row>
    <row r="69" spans="1:10" s="91" customFormat="1" ht="93.6" x14ac:dyDescent="0.2">
      <c r="A69" s="92">
        <v>35</v>
      </c>
      <c r="B69" s="99" t="s">
        <v>332</v>
      </c>
      <c r="C69" s="94" t="s">
        <v>319</v>
      </c>
      <c r="D69" s="95">
        <v>175682.38878469815</v>
      </c>
      <c r="E69" s="95">
        <v>450.47436000000005</v>
      </c>
      <c r="F69" s="95">
        <v>176132.86314469815</v>
      </c>
      <c r="G69" s="157">
        <v>17.57</v>
      </c>
      <c r="H69" s="157">
        <v>0.05</v>
      </c>
      <c r="I69" s="157">
        <f>G69+H69</f>
        <v>17.62</v>
      </c>
      <c r="J69" s="95">
        <v>176200</v>
      </c>
    </row>
    <row r="70" spans="1:10" s="91" customFormat="1" ht="15.6" x14ac:dyDescent="0.3">
      <c r="A70" s="97"/>
      <c r="B70" s="373" t="s">
        <v>333</v>
      </c>
      <c r="C70" s="374"/>
      <c r="D70" s="374"/>
      <c r="E70" s="374"/>
      <c r="F70" s="374"/>
      <c r="G70" s="374"/>
      <c r="H70" s="374"/>
      <c r="I70" s="374"/>
      <c r="J70" s="371"/>
    </row>
    <row r="71" spans="1:10" s="91" customFormat="1" ht="46.8" x14ac:dyDescent="0.2">
      <c r="A71" s="92">
        <v>36</v>
      </c>
      <c r="B71" s="99" t="s">
        <v>334</v>
      </c>
      <c r="C71" s="94" t="s">
        <v>319</v>
      </c>
      <c r="D71" s="95">
        <v>70272.955513879264</v>
      </c>
      <c r="E71" s="95">
        <v>450.47436000000005</v>
      </c>
      <c r="F71" s="95">
        <v>70723.429873879257</v>
      </c>
      <c r="G71" s="157">
        <v>7.03</v>
      </c>
      <c r="H71" s="157">
        <v>0.05</v>
      </c>
      <c r="I71" s="157">
        <f>G71+H71</f>
        <v>7.08</v>
      </c>
      <c r="J71" s="95">
        <v>70800</v>
      </c>
    </row>
    <row r="72" spans="1:10" s="91" customFormat="1" ht="15.6" x14ac:dyDescent="0.2">
      <c r="A72" s="92">
        <v>37</v>
      </c>
      <c r="B72" s="99" t="s">
        <v>335</v>
      </c>
      <c r="C72" s="94" t="s">
        <v>319</v>
      </c>
      <c r="D72" s="95">
        <v>35136.477756939632</v>
      </c>
      <c r="E72" s="95">
        <v>450.47436000000005</v>
      </c>
      <c r="F72" s="95">
        <v>35586.952116939632</v>
      </c>
      <c r="G72" s="157">
        <v>3.51</v>
      </c>
      <c r="H72" s="157">
        <v>0.05</v>
      </c>
      <c r="I72" s="157">
        <f t="shared" ref="I72:I79" si="3">G72+H72</f>
        <v>3.5599999999999996</v>
      </c>
      <c r="J72" s="95">
        <v>35600</v>
      </c>
    </row>
    <row r="73" spans="1:10" s="91" customFormat="1" ht="31.2" x14ac:dyDescent="0.2">
      <c r="A73" s="92">
        <v>38</v>
      </c>
      <c r="B73" s="99" t="s">
        <v>336</v>
      </c>
      <c r="C73" s="94" t="s">
        <v>319</v>
      </c>
      <c r="D73" s="95">
        <v>70272.955513879264</v>
      </c>
      <c r="E73" s="95">
        <v>450.47436000000005</v>
      </c>
      <c r="F73" s="95">
        <v>70723.429873879257</v>
      </c>
      <c r="G73" s="157">
        <v>7.03</v>
      </c>
      <c r="H73" s="157">
        <v>0.05</v>
      </c>
      <c r="I73" s="157">
        <f t="shared" si="3"/>
        <v>7.08</v>
      </c>
      <c r="J73" s="95">
        <v>70800</v>
      </c>
    </row>
    <row r="74" spans="1:10" s="91" customFormat="1" ht="31.2" x14ac:dyDescent="0.2">
      <c r="A74" s="92">
        <v>39</v>
      </c>
      <c r="B74" s="99" t="s">
        <v>337</v>
      </c>
      <c r="C74" s="94" t="s">
        <v>319</v>
      </c>
      <c r="D74" s="95">
        <v>35136.477756939632</v>
      </c>
      <c r="E74" s="95">
        <v>450.47436000000005</v>
      </c>
      <c r="F74" s="95">
        <v>35586.952116939632</v>
      </c>
      <c r="G74" s="157">
        <v>3.51</v>
      </c>
      <c r="H74" s="157">
        <v>0.05</v>
      </c>
      <c r="I74" s="157">
        <f t="shared" si="3"/>
        <v>3.5599999999999996</v>
      </c>
      <c r="J74" s="95">
        <v>35600</v>
      </c>
    </row>
    <row r="75" spans="1:10" s="106" customFormat="1" ht="15.6" x14ac:dyDescent="0.25">
      <c r="A75" s="97"/>
      <c r="B75" s="369" t="s">
        <v>338</v>
      </c>
      <c r="C75" s="370"/>
      <c r="D75" s="370"/>
      <c r="E75" s="370"/>
      <c r="F75" s="370"/>
      <c r="G75" s="370"/>
      <c r="H75" s="370"/>
      <c r="I75" s="370"/>
      <c r="J75" s="372"/>
    </row>
    <row r="76" spans="1:10" ht="31.2" x14ac:dyDescent="0.25">
      <c r="A76" s="92">
        <v>40</v>
      </c>
      <c r="B76" s="99" t="s">
        <v>339</v>
      </c>
      <c r="C76" s="94" t="s">
        <v>319</v>
      </c>
      <c r="D76" s="95">
        <v>140545.91102775853</v>
      </c>
      <c r="E76" s="95">
        <v>450.47436000000005</v>
      </c>
      <c r="F76" s="95">
        <v>140996.38538775852</v>
      </c>
      <c r="G76" s="157">
        <v>14.05</v>
      </c>
      <c r="H76" s="157">
        <v>0.05</v>
      </c>
      <c r="I76" s="157">
        <f t="shared" si="3"/>
        <v>14.100000000000001</v>
      </c>
      <c r="J76" s="95">
        <v>141000</v>
      </c>
    </row>
    <row r="77" spans="1:10" ht="15.6" x14ac:dyDescent="0.25">
      <c r="A77" s="92">
        <v>41</v>
      </c>
      <c r="B77" s="99" t="s">
        <v>340</v>
      </c>
      <c r="C77" s="94" t="s">
        <v>319</v>
      </c>
      <c r="D77" s="95">
        <v>105409.4332708189</v>
      </c>
      <c r="E77" s="95">
        <v>450.47436000000005</v>
      </c>
      <c r="F77" s="95">
        <v>105859.9076308189</v>
      </c>
      <c r="G77" s="157">
        <v>10.54</v>
      </c>
      <c r="H77" s="157">
        <v>0.05</v>
      </c>
      <c r="I77" s="157">
        <f t="shared" si="3"/>
        <v>10.59</v>
      </c>
      <c r="J77" s="95">
        <v>105900</v>
      </c>
    </row>
    <row r="78" spans="1:10" ht="15.6" x14ac:dyDescent="0.25">
      <c r="A78" s="92">
        <v>42</v>
      </c>
      <c r="B78" s="99" t="s">
        <v>341</v>
      </c>
      <c r="C78" s="94" t="s">
        <v>319</v>
      </c>
      <c r="D78" s="95">
        <v>105409.4332708189</v>
      </c>
      <c r="E78" s="95">
        <v>450.47436000000005</v>
      </c>
      <c r="F78" s="95">
        <v>105859.9076308189</v>
      </c>
      <c r="G78" s="157">
        <v>10.54</v>
      </c>
      <c r="H78" s="157">
        <v>0.05</v>
      </c>
      <c r="I78" s="157">
        <f t="shared" si="3"/>
        <v>10.59</v>
      </c>
      <c r="J78" s="95">
        <v>105900</v>
      </c>
    </row>
    <row r="79" spans="1:10" ht="15.6" x14ac:dyDescent="0.25">
      <c r="A79" s="92">
        <v>43</v>
      </c>
      <c r="B79" s="99" t="s">
        <v>342</v>
      </c>
      <c r="C79" s="94" t="s">
        <v>319</v>
      </c>
      <c r="D79" s="95">
        <v>105409.4332708189</v>
      </c>
      <c r="E79" s="95">
        <v>450.47436000000005</v>
      </c>
      <c r="F79" s="95">
        <v>105859.9076308189</v>
      </c>
      <c r="G79" s="157">
        <v>10.54</v>
      </c>
      <c r="H79" s="157">
        <v>0.05</v>
      </c>
      <c r="I79" s="157">
        <f t="shared" si="3"/>
        <v>10.59</v>
      </c>
      <c r="J79" s="95">
        <v>105900</v>
      </c>
    </row>
    <row r="80" spans="1:10" ht="15.6" x14ac:dyDescent="0.25">
      <c r="A80" s="92"/>
      <c r="B80" s="380"/>
      <c r="C80" s="381"/>
      <c r="D80" s="381"/>
      <c r="E80" s="381"/>
      <c r="F80" s="381"/>
      <c r="G80" s="381"/>
      <c r="H80" s="381"/>
      <c r="I80" s="381"/>
      <c r="J80" s="382"/>
    </row>
    <row r="81" spans="1:10" ht="15.6" x14ac:dyDescent="0.25">
      <c r="A81" s="92">
        <v>44</v>
      </c>
      <c r="B81" s="93" t="s">
        <v>408</v>
      </c>
      <c r="C81" s="94" t="s">
        <v>6</v>
      </c>
      <c r="D81" s="95"/>
      <c r="E81" s="95"/>
      <c r="F81" s="95"/>
      <c r="G81" s="157">
        <v>3.49</v>
      </c>
      <c r="H81" s="157">
        <v>0.01</v>
      </c>
      <c r="I81" s="157">
        <v>3.5</v>
      </c>
      <c r="J81" s="95">
        <v>35000</v>
      </c>
    </row>
    <row r="82" spans="1:10" ht="15.6" x14ac:dyDescent="0.25">
      <c r="A82" s="276"/>
      <c r="B82" s="267"/>
      <c r="C82" s="277"/>
      <c r="D82" s="278"/>
      <c r="E82" s="278"/>
      <c r="F82" s="278"/>
      <c r="G82" s="279"/>
      <c r="H82" s="279"/>
      <c r="I82" s="279"/>
      <c r="J82" s="278"/>
    </row>
    <row r="83" spans="1:10" ht="18" hidden="1" x14ac:dyDescent="0.35">
      <c r="A83" s="102"/>
      <c r="B83" s="271" t="s">
        <v>409</v>
      </c>
      <c r="C83" s="103"/>
      <c r="D83" s="88"/>
      <c r="E83" s="88"/>
      <c r="F83" s="88"/>
      <c r="G83" s="88"/>
      <c r="H83" s="86"/>
      <c r="I83" s="271" t="s">
        <v>410</v>
      </c>
      <c r="J83" s="91"/>
    </row>
    <row r="84" spans="1:10" x14ac:dyDescent="0.25">
      <c r="A84" s="102"/>
      <c r="B84" s="104"/>
      <c r="C84" s="105"/>
      <c r="D84" s="87"/>
      <c r="E84" s="87"/>
      <c r="F84" s="87"/>
      <c r="G84" s="87"/>
      <c r="H84" s="87"/>
      <c r="I84" s="87"/>
      <c r="J84" s="106"/>
    </row>
    <row r="85" spans="1:10" x14ac:dyDescent="0.25">
      <c r="A85" s="91"/>
      <c r="B85" s="389"/>
      <c r="C85" s="390"/>
      <c r="D85" s="107"/>
      <c r="E85" s="107"/>
      <c r="F85" s="107"/>
      <c r="G85" s="107"/>
      <c r="H85" s="107"/>
      <c r="I85" s="107"/>
    </row>
    <row r="86" spans="1:10" ht="15.6" x14ac:dyDescent="0.3">
      <c r="A86" s="91"/>
      <c r="B86" s="108"/>
      <c r="C86" s="108"/>
      <c r="D86" s="108"/>
      <c r="E86" s="108"/>
      <c r="F86" s="108"/>
      <c r="G86" s="108"/>
      <c r="H86" s="108"/>
      <c r="I86" s="108"/>
    </row>
    <row r="87" spans="1:10" ht="15.6" x14ac:dyDescent="0.25">
      <c r="A87" s="91"/>
      <c r="B87" s="109"/>
      <c r="C87" s="110"/>
    </row>
    <row r="88" spans="1:10" ht="15.6" x14ac:dyDescent="0.3">
      <c r="A88" s="106"/>
      <c r="B88" s="108"/>
      <c r="C88" s="112"/>
      <c r="D88" s="113"/>
      <c r="E88" s="113"/>
      <c r="F88" s="113"/>
      <c r="G88" s="113"/>
      <c r="H88" s="113"/>
      <c r="I88" s="113"/>
    </row>
  </sheetData>
  <mergeCells count="51">
    <mergeCell ref="B75:J75"/>
    <mergeCell ref="B80:J80"/>
    <mergeCell ref="B85:C85"/>
    <mergeCell ref="F60:F61"/>
    <mergeCell ref="G60:G61"/>
    <mergeCell ref="H60:H61"/>
    <mergeCell ref="I60:I61"/>
    <mergeCell ref="J60:J61"/>
    <mergeCell ref="B70:J70"/>
    <mergeCell ref="A44:J44"/>
    <mergeCell ref="B45:J45"/>
    <mergeCell ref="A50:J50"/>
    <mergeCell ref="B51:J51"/>
    <mergeCell ref="B55:J55"/>
    <mergeCell ref="A60:A61"/>
    <mergeCell ref="B60:B61"/>
    <mergeCell ref="C60:C61"/>
    <mergeCell ref="D60:D61"/>
    <mergeCell ref="E60:E61"/>
    <mergeCell ref="B42:J42"/>
    <mergeCell ref="B23:J23"/>
    <mergeCell ref="B27:J27"/>
    <mergeCell ref="B33:J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B38:J38"/>
    <mergeCell ref="B40:J40"/>
    <mergeCell ref="B18:J18"/>
    <mergeCell ref="I1:J1"/>
    <mergeCell ref="A7:J7"/>
    <mergeCell ref="A8:J8"/>
    <mergeCell ref="A9:C9"/>
    <mergeCell ref="A10:C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pageMargins left="0.65" right="0.26" top="0.25" bottom="0.25" header="0.25" footer="0.25"/>
  <pageSetup paperSize="9" fitToHeight="0" orientation="portrait" r:id="rId1"/>
  <headerFooter alignWithMargins="0"/>
  <rowBreaks count="2" manualBreakCount="2">
    <brk id="34" max="9" man="1"/>
    <brk id="5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view="pageBreakPreview" topLeftCell="A7" zoomScale="120" zoomScaleNormal="100" workbookViewId="0">
      <selection activeCell="A82" sqref="A82:XFD82"/>
    </sheetView>
  </sheetViews>
  <sheetFormatPr defaultColWidth="9.109375" defaultRowHeight="15" x14ac:dyDescent="0.25"/>
  <cols>
    <col min="1" max="1" width="4.109375" style="86" customWidth="1"/>
    <col min="2" max="2" width="39" style="107" customWidth="1"/>
    <col min="3" max="3" width="9.109375" style="114" customWidth="1"/>
    <col min="4" max="4" width="8.6640625" style="111" hidden="1" customWidth="1"/>
    <col min="5" max="5" width="7.33203125" style="111" hidden="1" customWidth="1"/>
    <col min="6" max="6" width="8.33203125" style="111" hidden="1" customWidth="1"/>
    <col min="7" max="7" width="8.5546875" style="111" customWidth="1"/>
    <col min="8" max="8" width="8" style="111" customWidth="1"/>
    <col min="9" max="9" width="9.5546875" style="111" customWidth="1"/>
    <col min="10" max="10" width="10.6640625" style="86" customWidth="1"/>
    <col min="11" max="16384" width="9.109375" style="86"/>
  </cols>
  <sheetData>
    <row r="1" spans="1:10" ht="15.6" hidden="1" customHeight="1" x14ac:dyDescent="0.35">
      <c r="A1" s="115"/>
      <c r="B1" s="255"/>
      <c r="D1" s="265"/>
      <c r="E1" s="265"/>
      <c r="F1" s="265"/>
      <c r="G1" s="265"/>
      <c r="H1" s="265"/>
      <c r="I1" s="391" t="s">
        <v>405</v>
      </c>
      <c r="J1" s="391"/>
    </row>
    <row r="2" spans="1:10" ht="22.8" hidden="1" customHeight="1" x14ac:dyDescent="0.35">
      <c r="A2" s="115"/>
      <c r="B2" s="255"/>
      <c r="C2" s="116"/>
      <c r="D2" s="117"/>
      <c r="E2" s="117"/>
      <c r="F2" s="117"/>
      <c r="G2" s="117"/>
      <c r="H2" s="117"/>
      <c r="J2" s="118" t="s">
        <v>343</v>
      </c>
    </row>
    <row r="3" spans="1:10" ht="13.2" hidden="1" customHeight="1" x14ac:dyDescent="0.35">
      <c r="A3" s="115"/>
      <c r="B3" s="255"/>
      <c r="C3" s="116"/>
      <c r="D3" s="117"/>
      <c r="E3" s="117"/>
      <c r="F3" s="117"/>
      <c r="G3" s="117"/>
      <c r="H3" s="117"/>
      <c r="J3" s="118" t="s">
        <v>344</v>
      </c>
    </row>
    <row r="4" spans="1:10" ht="16.8" hidden="1" customHeight="1" x14ac:dyDescent="0.35">
      <c r="A4" s="115"/>
      <c r="B4" s="255"/>
      <c r="C4" s="116"/>
      <c r="D4" s="117"/>
      <c r="E4" s="117"/>
      <c r="F4" s="117"/>
      <c r="G4" s="117"/>
      <c r="H4" s="117"/>
      <c r="J4" s="118" t="s">
        <v>345</v>
      </c>
    </row>
    <row r="5" spans="1:10" ht="16.2" hidden="1" customHeight="1" x14ac:dyDescent="0.35">
      <c r="A5" s="392"/>
      <c r="B5" s="393"/>
      <c r="C5" s="119"/>
      <c r="D5" s="117"/>
      <c r="E5" s="117"/>
      <c r="F5" s="117"/>
      <c r="G5" s="117"/>
      <c r="H5" s="117"/>
      <c r="J5" s="118" t="s">
        <v>346</v>
      </c>
    </row>
    <row r="6" spans="1:10" ht="19.2" hidden="1" customHeight="1" x14ac:dyDescent="0.35">
      <c r="A6" s="120"/>
      <c r="B6" s="121"/>
      <c r="C6" s="119"/>
      <c r="D6" s="117"/>
      <c r="E6" s="117"/>
      <c r="F6" s="122"/>
      <c r="G6" s="117"/>
      <c r="I6" s="118" t="s">
        <v>406</v>
      </c>
    </row>
    <row r="7" spans="1:10" ht="13.2" customHeight="1" x14ac:dyDescent="0.25">
      <c r="A7" s="120"/>
      <c r="B7" s="121"/>
      <c r="C7" s="119"/>
      <c r="D7" s="117"/>
      <c r="E7" s="117"/>
      <c r="F7" s="117"/>
      <c r="G7" s="117"/>
      <c r="H7" s="117"/>
      <c r="I7" s="117"/>
    </row>
    <row r="8" spans="1:10" ht="19.95" customHeight="1" x14ac:dyDescent="0.3">
      <c r="A8" s="394" t="s">
        <v>0</v>
      </c>
      <c r="B8" s="394"/>
      <c r="C8" s="394"/>
      <c r="D8" s="394"/>
      <c r="E8" s="394"/>
      <c r="F8" s="394"/>
      <c r="G8" s="394"/>
      <c r="H8" s="394"/>
      <c r="I8" s="394"/>
      <c r="J8" s="394"/>
    </row>
    <row r="9" spans="1:10" ht="51" customHeight="1" x14ac:dyDescent="0.25">
      <c r="A9" s="395" t="s">
        <v>38</v>
      </c>
      <c r="B9" s="395"/>
      <c r="C9" s="395"/>
      <c r="D9" s="395"/>
      <c r="E9" s="395"/>
      <c r="F9" s="395"/>
      <c r="G9" s="395"/>
      <c r="H9" s="395"/>
      <c r="I9" s="395"/>
      <c r="J9" s="395"/>
    </row>
    <row r="10" spans="1:10" ht="10.199999999999999" customHeight="1" x14ac:dyDescent="0.25">
      <c r="A10" s="396"/>
      <c r="B10" s="396"/>
      <c r="C10" s="396"/>
      <c r="D10" s="121"/>
      <c r="E10" s="121"/>
      <c r="F10" s="121"/>
      <c r="G10" s="121"/>
      <c r="H10" s="121"/>
      <c r="I10" s="121"/>
    </row>
    <row r="11" spans="1:10" ht="15.6" x14ac:dyDescent="0.3">
      <c r="A11" s="123"/>
      <c r="B11" s="124"/>
      <c r="C11" s="116"/>
      <c r="D11" s="117"/>
      <c r="E11" s="117"/>
      <c r="F11" s="117"/>
      <c r="G11" s="117"/>
      <c r="H11" s="117"/>
      <c r="I11" s="125"/>
      <c r="J11" s="125" t="s">
        <v>407</v>
      </c>
    </row>
    <row r="12" spans="1:10" ht="15.6" x14ac:dyDescent="0.3">
      <c r="A12" s="126"/>
      <c r="B12" s="127"/>
      <c r="C12" s="128"/>
      <c r="D12" s="117"/>
      <c r="E12" s="117"/>
      <c r="F12" s="117"/>
      <c r="G12" s="117"/>
      <c r="H12" s="117"/>
      <c r="I12" s="117"/>
    </row>
    <row r="13" spans="1:10" s="90" customFormat="1" ht="42" customHeight="1" x14ac:dyDescent="0.2">
      <c r="A13" s="364" t="s">
        <v>1</v>
      </c>
      <c r="B13" s="364" t="s">
        <v>2</v>
      </c>
      <c r="C13" s="364" t="s">
        <v>3</v>
      </c>
      <c r="D13" s="359" t="s">
        <v>172</v>
      </c>
      <c r="E13" s="359" t="s">
        <v>173</v>
      </c>
      <c r="F13" s="368" t="s">
        <v>4</v>
      </c>
      <c r="G13" s="359" t="s">
        <v>176</v>
      </c>
      <c r="H13" s="359" t="s">
        <v>355</v>
      </c>
      <c r="I13" s="359" t="s">
        <v>177</v>
      </c>
      <c r="J13" s="359" t="s">
        <v>356</v>
      </c>
    </row>
    <row r="14" spans="1:10" s="90" customFormat="1" ht="33.6" customHeight="1" x14ac:dyDescent="0.2">
      <c r="A14" s="365"/>
      <c r="B14" s="364"/>
      <c r="C14" s="364"/>
      <c r="D14" s="366"/>
      <c r="E14" s="359"/>
      <c r="F14" s="368"/>
      <c r="G14" s="366"/>
      <c r="H14" s="359"/>
      <c r="I14" s="359"/>
      <c r="J14" s="359"/>
    </row>
    <row r="15" spans="1:10" s="90" customFormat="1" ht="10.199999999999999" hidden="1" x14ac:dyDescent="0.2">
      <c r="A15" s="254"/>
      <c r="B15" s="253"/>
      <c r="C15" s="253"/>
      <c r="D15" s="367" t="s">
        <v>174</v>
      </c>
      <c r="E15" s="367"/>
      <c r="F15" s="367"/>
      <c r="G15" s="367" t="s">
        <v>175</v>
      </c>
      <c r="H15" s="367"/>
      <c r="I15" s="367"/>
    </row>
    <row r="16" spans="1:10" s="91" customFormat="1" ht="13.2" customHeight="1" x14ac:dyDescent="0.3">
      <c r="A16" s="129">
        <v>1</v>
      </c>
      <c r="B16" s="129">
        <v>2</v>
      </c>
      <c r="C16" s="129">
        <v>3</v>
      </c>
      <c r="D16" s="129">
        <v>4</v>
      </c>
      <c r="E16" s="129">
        <v>5</v>
      </c>
      <c r="F16" s="129">
        <v>6</v>
      </c>
      <c r="G16" s="129">
        <v>4</v>
      </c>
      <c r="H16" s="129">
        <v>5</v>
      </c>
      <c r="I16" s="129">
        <v>6</v>
      </c>
      <c r="J16" s="129">
        <v>7</v>
      </c>
    </row>
    <row r="17" spans="1:10" s="91" customFormat="1" ht="15.6" x14ac:dyDescent="0.2">
      <c r="A17" s="130">
        <v>1</v>
      </c>
      <c r="B17" s="131" t="s">
        <v>5</v>
      </c>
      <c r="C17" s="132" t="s">
        <v>6</v>
      </c>
      <c r="D17" s="133">
        <v>49551.767999999996</v>
      </c>
      <c r="E17" s="133">
        <v>112.77</v>
      </c>
      <c r="F17" s="133">
        <v>49664.537999999993</v>
      </c>
      <c r="G17" s="156">
        <v>5</v>
      </c>
      <c r="H17" s="156">
        <v>0.01</v>
      </c>
      <c r="I17" s="156">
        <f>G17+H17</f>
        <v>5.01</v>
      </c>
      <c r="J17" s="133">
        <v>50100</v>
      </c>
    </row>
    <row r="18" spans="1:10" s="91" customFormat="1" ht="31.2" x14ac:dyDescent="0.2">
      <c r="A18" s="130">
        <v>2</v>
      </c>
      <c r="B18" s="131" t="s">
        <v>7</v>
      </c>
      <c r="C18" s="134" t="s">
        <v>8</v>
      </c>
      <c r="D18" s="133">
        <v>74327.652000000002</v>
      </c>
      <c r="E18" s="133">
        <v>524.68399999999997</v>
      </c>
      <c r="F18" s="133">
        <v>74852.335999999996</v>
      </c>
      <c r="G18" s="156">
        <v>7.43</v>
      </c>
      <c r="H18" s="156">
        <v>0.05</v>
      </c>
      <c r="I18" s="156">
        <f>G18+H18</f>
        <v>7.4799999999999995</v>
      </c>
      <c r="J18" s="133">
        <v>74800</v>
      </c>
    </row>
    <row r="19" spans="1:10" s="91" customFormat="1" ht="15.75" customHeight="1" x14ac:dyDescent="0.25">
      <c r="A19" s="135"/>
      <c r="B19" s="369" t="s">
        <v>9</v>
      </c>
      <c r="C19" s="370"/>
      <c r="D19" s="370"/>
      <c r="E19" s="370"/>
      <c r="F19" s="370"/>
      <c r="G19" s="370"/>
      <c r="H19" s="370"/>
      <c r="I19" s="370"/>
      <c r="J19" s="372"/>
    </row>
    <row r="20" spans="1:10" s="91" customFormat="1" ht="31.2" x14ac:dyDescent="0.2">
      <c r="A20" s="136">
        <v>3</v>
      </c>
      <c r="B20" s="137" t="s">
        <v>11</v>
      </c>
      <c r="C20" s="132" t="s">
        <v>10</v>
      </c>
      <c r="D20" s="133">
        <v>29219.963783497908</v>
      </c>
      <c r="E20" s="133">
        <v>294.95047058823531</v>
      </c>
      <c r="F20" s="133">
        <v>29514.914254086143</v>
      </c>
      <c r="G20" s="156">
        <v>2.92</v>
      </c>
      <c r="H20" s="156">
        <v>0.03</v>
      </c>
      <c r="I20" s="156">
        <f>G20+H20</f>
        <v>2.9499999999999997</v>
      </c>
      <c r="J20" s="133">
        <v>29500</v>
      </c>
    </row>
    <row r="21" spans="1:10" s="91" customFormat="1" ht="15.6" x14ac:dyDescent="0.2">
      <c r="A21" s="136">
        <v>4</v>
      </c>
      <c r="B21" s="137" t="s">
        <v>12</v>
      </c>
      <c r="C21" s="132" t="s">
        <v>10</v>
      </c>
      <c r="D21" s="133">
        <v>38959.951711330541</v>
      </c>
      <c r="E21" s="133">
        <v>294.95047058823531</v>
      </c>
      <c r="F21" s="133">
        <v>39254.902181918776</v>
      </c>
      <c r="G21" s="156">
        <v>3.9</v>
      </c>
      <c r="H21" s="156">
        <v>0.03</v>
      </c>
      <c r="I21" s="156">
        <f t="shared" ref="I21:I27" si="0">G21+H21</f>
        <v>3.9299999999999997</v>
      </c>
      <c r="J21" s="133">
        <v>39300</v>
      </c>
    </row>
    <row r="22" spans="1:10" s="91" customFormat="1" ht="15.6" x14ac:dyDescent="0.2">
      <c r="A22" s="136">
        <v>5</v>
      </c>
      <c r="B22" s="137" t="s">
        <v>13</v>
      </c>
      <c r="C22" s="132" t="s">
        <v>10</v>
      </c>
      <c r="D22" s="133">
        <v>38959.951711330541</v>
      </c>
      <c r="E22" s="133">
        <v>328.4733333333333</v>
      </c>
      <c r="F22" s="133">
        <v>39288.425044663876</v>
      </c>
      <c r="G22" s="156">
        <v>3.9</v>
      </c>
      <c r="H22" s="156">
        <v>0.03</v>
      </c>
      <c r="I22" s="156">
        <f t="shared" si="0"/>
        <v>3.9299999999999997</v>
      </c>
      <c r="J22" s="133">
        <v>39300</v>
      </c>
    </row>
    <row r="23" spans="1:10" s="91" customFormat="1" ht="15.6" x14ac:dyDescent="0.2">
      <c r="A23" s="136">
        <v>6</v>
      </c>
      <c r="B23" s="137" t="s">
        <v>14</v>
      </c>
      <c r="C23" s="132" t="s">
        <v>10</v>
      </c>
      <c r="D23" s="133">
        <v>19479.975855665271</v>
      </c>
      <c r="E23" s="133">
        <v>329.3664705882353</v>
      </c>
      <c r="F23" s="133">
        <v>19809.342326253507</v>
      </c>
      <c r="G23" s="156">
        <v>1.95</v>
      </c>
      <c r="H23" s="156">
        <v>0.03</v>
      </c>
      <c r="I23" s="156">
        <f t="shared" si="0"/>
        <v>1.98</v>
      </c>
      <c r="J23" s="133">
        <v>19800</v>
      </c>
    </row>
    <row r="24" spans="1:10" s="91" customFormat="1" ht="15.75" customHeight="1" x14ac:dyDescent="0.2">
      <c r="A24" s="138"/>
      <c r="B24" s="369" t="s">
        <v>15</v>
      </c>
      <c r="C24" s="370"/>
      <c r="D24" s="370"/>
      <c r="E24" s="370"/>
      <c r="F24" s="370"/>
      <c r="G24" s="370"/>
      <c r="H24" s="370"/>
      <c r="I24" s="370"/>
      <c r="J24" s="372"/>
    </row>
    <row r="25" spans="1:10" s="91" customFormat="1" ht="15.6" x14ac:dyDescent="0.2">
      <c r="A25" s="136">
        <v>7</v>
      </c>
      <c r="B25" s="137" t="s">
        <v>16</v>
      </c>
      <c r="C25" s="132" t="s">
        <v>10</v>
      </c>
      <c r="D25" s="133">
        <v>19479.975855665271</v>
      </c>
      <c r="E25" s="133">
        <v>218.774</v>
      </c>
      <c r="F25" s="133">
        <v>19698.749855665272</v>
      </c>
      <c r="G25" s="156">
        <v>1.95</v>
      </c>
      <c r="H25" s="156">
        <v>0.02</v>
      </c>
      <c r="I25" s="156">
        <f>G25+H25</f>
        <v>1.97</v>
      </c>
      <c r="J25" s="133">
        <v>19700</v>
      </c>
    </row>
    <row r="26" spans="1:10" s="91" customFormat="1" ht="31.2" x14ac:dyDescent="0.2">
      <c r="A26" s="136">
        <v>8</v>
      </c>
      <c r="B26" s="137" t="s">
        <v>17</v>
      </c>
      <c r="C26" s="132" t="s">
        <v>10</v>
      </c>
      <c r="D26" s="133">
        <v>19479.975855665271</v>
      </c>
      <c r="E26" s="133">
        <v>218.774</v>
      </c>
      <c r="F26" s="133">
        <v>19698.749855665272</v>
      </c>
      <c r="G26" s="156">
        <v>1.95</v>
      </c>
      <c r="H26" s="156">
        <v>0.02</v>
      </c>
      <c r="I26" s="156">
        <f t="shared" si="0"/>
        <v>1.97</v>
      </c>
      <c r="J26" s="133">
        <v>19700</v>
      </c>
    </row>
    <row r="27" spans="1:10" s="91" customFormat="1" ht="31.2" x14ac:dyDescent="0.2">
      <c r="A27" s="136">
        <v>9</v>
      </c>
      <c r="B27" s="137" t="s">
        <v>18</v>
      </c>
      <c r="C27" s="132" t="s">
        <v>10</v>
      </c>
      <c r="D27" s="133">
        <v>19479.975855665271</v>
      </c>
      <c r="E27" s="133">
        <v>218.774</v>
      </c>
      <c r="F27" s="133">
        <v>19698.749855665272</v>
      </c>
      <c r="G27" s="156">
        <v>1.95</v>
      </c>
      <c r="H27" s="156">
        <v>0.02</v>
      </c>
      <c r="I27" s="156">
        <f t="shared" si="0"/>
        <v>1.97</v>
      </c>
      <c r="J27" s="133">
        <v>19700</v>
      </c>
    </row>
    <row r="28" spans="1:10" s="91" customFormat="1" ht="15.75" customHeight="1" x14ac:dyDescent="0.2">
      <c r="A28" s="138"/>
      <c r="B28" s="369" t="s">
        <v>19</v>
      </c>
      <c r="C28" s="370"/>
      <c r="D28" s="370"/>
      <c r="E28" s="370"/>
      <c r="F28" s="370"/>
      <c r="G28" s="370"/>
      <c r="H28" s="370"/>
      <c r="I28" s="370"/>
      <c r="J28" s="372"/>
    </row>
    <row r="29" spans="1:10" s="91" customFormat="1" ht="15.6" x14ac:dyDescent="0.2">
      <c r="A29" s="136">
        <v>10</v>
      </c>
      <c r="B29" s="137" t="s">
        <v>20</v>
      </c>
      <c r="C29" s="132" t="s">
        <v>10</v>
      </c>
      <c r="D29" s="133">
        <v>38959.951711330541</v>
      </c>
      <c r="E29" s="133">
        <v>811.1253333333334</v>
      </c>
      <c r="F29" s="133">
        <v>39771.077044663878</v>
      </c>
      <c r="G29" s="156">
        <v>3.9</v>
      </c>
      <c r="H29" s="156">
        <v>0.08</v>
      </c>
      <c r="I29" s="156">
        <f t="shared" ref="I29:I43" si="1">G29+H29</f>
        <v>3.98</v>
      </c>
      <c r="J29" s="133">
        <v>39800</v>
      </c>
    </row>
    <row r="30" spans="1:10" s="91" customFormat="1" ht="15.6" x14ac:dyDescent="0.2">
      <c r="A30" s="136">
        <v>11</v>
      </c>
      <c r="B30" s="137" t="s">
        <v>21</v>
      </c>
      <c r="C30" s="132" t="s">
        <v>10</v>
      </c>
      <c r="D30" s="133">
        <v>38959.951711330541</v>
      </c>
      <c r="E30" s="133">
        <v>1758.2933333333333</v>
      </c>
      <c r="F30" s="133">
        <v>40718.245044663876</v>
      </c>
      <c r="G30" s="156">
        <v>3.9</v>
      </c>
      <c r="H30" s="156">
        <v>0.18</v>
      </c>
      <c r="I30" s="156">
        <f t="shared" si="1"/>
        <v>4.08</v>
      </c>
      <c r="J30" s="133">
        <v>40800</v>
      </c>
    </row>
    <row r="31" spans="1:10" s="91" customFormat="1" ht="31.2" x14ac:dyDescent="0.2">
      <c r="A31" s="136">
        <v>12</v>
      </c>
      <c r="B31" s="99" t="s">
        <v>315</v>
      </c>
      <c r="C31" s="132" t="s">
        <v>10</v>
      </c>
      <c r="D31" s="133">
        <v>38959.951711330541</v>
      </c>
      <c r="E31" s="133">
        <v>124.03999999999999</v>
      </c>
      <c r="F31" s="133">
        <v>39083.991711330542</v>
      </c>
      <c r="G31" s="156">
        <v>3.9</v>
      </c>
      <c r="H31" s="156">
        <v>0.01</v>
      </c>
      <c r="I31" s="156">
        <f t="shared" si="1"/>
        <v>3.9099999999999997</v>
      </c>
      <c r="J31" s="133">
        <v>39100</v>
      </c>
    </row>
    <row r="32" spans="1:10" s="91" customFormat="1" ht="46.8" x14ac:dyDescent="0.2">
      <c r="A32" s="136">
        <v>13</v>
      </c>
      <c r="B32" s="137" t="s">
        <v>22</v>
      </c>
      <c r="C32" s="132" t="s">
        <v>10</v>
      </c>
      <c r="D32" s="133">
        <v>48699.939639163174</v>
      </c>
      <c r="E32" s="133">
        <v>190.79000000000002</v>
      </c>
      <c r="F32" s="133">
        <v>48890.729639163175</v>
      </c>
      <c r="G32" s="156">
        <v>4.87</v>
      </c>
      <c r="H32" s="156">
        <v>0.02</v>
      </c>
      <c r="I32" s="156">
        <f t="shared" si="1"/>
        <v>4.8899999999999997</v>
      </c>
      <c r="J32" s="133">
        <v>48900</v>
      </c>
    </row>
    <row r="33" spans="1:10" s="91" customFormat="1" ht="46.8" x14ac:dyDescent="0.2">
      <c r="A33" s="136">
        <v>14</v>
      </c>
      <c r="B33" s="137" t="s">
        <v>23</v>
      </c>
      <c r="C33" s="132" t="s">
        <v>10</v>
      </c>
      <c r="D33" s="133">
        <v>48699.939639163174</v>
      </c>
      <c r="E33" s="133">
        <v>218.774</v>
      </c>
      <c r="F33" s="133">
        <v>48918.713639163172</v>
      </c>
      <c r="G33" s="156">
        <v>4.87</v>
      </c>
      <c r="H33" s="156">
        <v>0.02</v>
      </c>
      <c r="I33" s="156">
        <f t="shared" si="1"/>
        <v>4.8899999999999997</v>
      </c>
      <c r="J33" s="133">
        <v>48900</v>
      </c>
    </row>
    <row r="34" spans="1:10" s="91" customFormat="1" ht="15.6" x14ac:dyDescent="0.2">
      <c r="A34" s="138"/>
      <c r="B34" s="369" t="s">
        <v>24</v>
      </c>
      <c r="C34" s="370"/>
      <c r="D34" s="370"/>
      <c r="E34" s="370"/>
      <c r="F34" s="370"/>
      <c r="G34" s="370"/>
      <c r="H34" s="370"/>
      <c r="I34" s="370"/>
      <c r="J34" s="372"/>
    </row>
    <row r="35" spans="1:10" s="91" customFormat="1" ht="28.8" x14ac:dyDescent="0.2">
      <c r="A35" s="136">
        <v>15</v>
      </c>
      <c r="B35" s="137" t="s">
        <v>25</v>
      </c>
      <c r="C35" s="132" t="s">
        <v>10</v>
      </c>
      <c r="D35" s="133">
        <v>19479.975855665271</v>
      </c>
      <c r="E35" s="133">
        <v>142.92000000000002</v>
      </c>
      <c r="F35" s="133">
        <v>19622.895855665269</v>
      </c>
      <c r="G35" s="156">
        <v>1.95</v>
      </c>
      <c r="H35" s="156">
        <v>0.01</v>
      </c>
      <c r="I35" s="156">
        <f t="shared" si="1"/>
        <v>1.96</v>
      </c>
      <c r="J35" s="133">
        <v>19600</v>
      </c>
    </row>
    <row r="36" spans="1:10" s="91" customFormat="1" ht="34.799999999999997" customHeight="1" x14ac:dyDescent="0.2">
      <c r="A36" s="364" t="s">
        <v>1</v>
      </c>
      <c r="B36" s="364" t="s">
        <v>2</v>
      </c>
      <c r="C36" s="397" t="s">
        <v>3</v>
      </c>
      <c r="D36" s="399" t="s">
        <v>172</v>
      </c>
      <c r="E36" s="399" t="s">
        <v>173</v>
      </c>
      <c r="F36" s="401" t="s">
        <v>4</v>
      </c>
      <c r="G36" s="359" t="s">
        <v>176</v>
      </c>
      <c r="H36" s="359" t="s">
        <v>355</v>
      </c>
      <c r="I36" s="359" t="s">
        <v>177</v>
      </c>
      <c r="J36" s="359" t="s">
        <v>356</v>
      </c>
    </row>
    <row r="37" spans="1:10" s="91" customFormat="1" ht="37.200000000000003" customHeight="1" x14ac:dyDescent="0.2">
      <c r="A37" s="365"/>
      <c r="B37" s="364"/>
      <c r="C37" s="398"/>
      <c r="D37" s="400"/>
      <c r="E37" s="400"/>
      <c r="F37" s="402"/>
      <c r="G37" s="366"/>
      <c r="H37" s="359"/>
      <c r="I37" s="359"/>
      <c r="J37" s="359"/>
    </row>
    <row r="38" spans="1:10" s="91" customFormat="1" ht="15.6" x14ac:dyDescent="0.3">
      <c r="A38" s="129">
        <v>1</v>
      </c>
      <c r="B38" s="129">
        <v>2</v>
      </c>
      <c r="C38" s="129">
        <v>3</v>
      </c>
      <c r="D38" s="129">
        <v>4</v>
      </c>
      <c r="E38" s="129">
        <v>5</v>
      </c>
      <c r="F38" s="129">
        <v>6</v>
      </c>
      <c r="G38" s="129">
        <v>4</v>
      </c>
      <c r="H38" s="129">
        <v>5</v>
      </c>
      <c r="I38" s="129">
        <v>6</v>
      </c>
      <c r="J38" s="129">
        <v>7</v>
      </c>
    </row>
    <row r="39" spans="1:10" s="91" customFormat="1" ht="15.6" x14ac:dyDescent="0.2">
      <c r="A39" s="136">
        <v>16</v>
      </c>
      <c r="B39" s="137" t="s">
        <v>27</v>
      </c>
      <c r="C39" s="132" t="s">
        <v>10</v>
      </c>
      <c r="D39" s="133">
        <v>77919.903422661082</v>
      </c>
      <c r="E39" s="133">
        <v>21584</v>
      </c>
      <c r="F39" s="133">
        <v>99503.903422661082</v>
      </c>
      <c r="G39" s="156">
        <v>7.79</v>
      </c>
      <c r="H39" s="156">
        <v>2.16</v>
      </c>
      <c r="I39" s="156">
        <f t="shared" si="1"/>
        <v>9.9499999999999993</v>
      </c>
      <c r="J39" s="133">
        <v>99500</v>
      </c>
    </row>
    <row r="40" spans="1:10" s="91" customFormat="1" ht="15.75" customHeight="1" x14ac:dyDescent="0.2">
      <c r="A40" s="138"/>
      <c r="B40" s="369" t="s">
        <v>28</v>
      </c>
      <c r="C40" s="370"/>
      <c r="D40" s="370"/>
      <c r="E40" s="370"/>
      <c r="F40" s="370"/>
      <c r="G40" s="370"/>
      <c r="H40" s="370"/>
      <c r="I40" s="370"/>
      <c r="J40" s="372"/>
    </row>
    <row r="41" spans="1:10" s="91" customFormat="1" ht="31.2" x14ac:dyDescent="0.2">
      <c r="A41" s="136">
        <v>17</v>
      </c>
      <c r="B41" s="137" t="s">
        <v>29</v>
      </c>
      <c r="C41" s="132" t="s">
        <v>10</v>
      </c>
      <c r="D41" s="133">
        <v>38959.951711330541</v>
      </c>
      <c r="E41" s="133">
        <v>23583.54</v>
      </c>
      <c r="F41" s="133">
        <v>62543.491711330542</v>
      </c>
      <c r="G41" s="156">
        <v>3.9</v>
      </c>
      <c r="H41" s="156">
        <v>2.36</v>
      </c>
      <c r="I41" s="156">
        <f t="shared" si="1"/>
        <v>6.26</v>
      </c>
      <c r="J41" s="133">
        <v>62600</v>
      </c>
    </row>
    <row r="42" spans="1:10" s="91" customFormat="1" ht="15.75" customHeight="1" x14ac:dyDescent="0.3">
      <c r="A42" s="138"/>
      <c r="B42" s="369" t="s">
        <v>30</v>
      </c>
      <c r="C42" s="370"/>
      <c r="D42" s="370"/>
      <c r="E42" s="370"/>
      <c r="F42" s="370"/>
      <c r="G42" s="370"/>
      <c r="H42" s="370"/>
      <c r="I42" s="370"/>
      <c r="J42" s="371"/>
    </row>
    <row r="43" spans="1:10" s="91" customFormat="1" ht="31.2" x14ac:dyDescent="0.2">
      <c r="A43" s="136">
        <v>18</v>
      </c>
      <c r="B43" s="137" t="s">
        <v>31</v>
      </c>
      <c r="C43" s="132" t="s">
        <v>10</v>
      </c>
      <c r="D43" s="133">
        <v>38959.951711330541</v>
      </c>
      <c r="E43" s="133">
        <v>4144.9480000000003</v>
      </c>
      <c r="F43" s="133">
        <v>43104.899711330538</v>
      </c>
      <c r="G43" s="156">
        <v>3.9</v>
      </c>
      <c r="H43" s="156">
        <v>0.41</v>
      </c>
      <c r="I43" s="156">
        <f t="shared" si="1"/>
        <v>4.3099999999999996</v>
      </c>
      <c r="J43" s="133">
        <v>43100</v>
      </c>
    </row>
    <row r="44" spans="1:10" s="90" customFormat="1" ht="15.6" x14ac:dyDescent="0.3">
      <c r="A44" s="138"/>
      <c r="B44" s="369" t="s">
        <v>32</v>
      </c>
      <c r="C44" s="370"/>
      <c r="D44" s="370"/>
      <c r="E44" s="370"/>
      <c r="F44" s="370"/>
      <c r="G44" s="370"/>
      <c r="H44" s="370"/>
      <c r="I44" s="370"/>
      <c r="J44" s="371"/>
    </row>
    <row r="45" spans="1:10" s="91" customFormat="1" ht="15.6" x14ac:dyDescent="0.3">
      <c r="A45" s="138"/>
      <c r="B45" s="377" t="s">
        <v>33</v>
      </c>
      <c r="C45" s="378"/>
      <c r="D45" s="378"/>
      <c r="E45" s="378"/>
      <c r="F45" s="378"/>
      <c r="G45" s="378"/>
      <c r="H45" s="378"/>
      <c r="I45" s="378"/>
      <c r="J45" s="371"/>
    </row>
    <row r="46" spans="1:10" s="90" customFormat="1" ht="78" x14ac:dyDescent="0.2">
      <c r="A46" s="139">
        <v>19</v>
      </c>
      <c r="B46" s="137" t="s">
        <v>34</v>
      </c>
      <c r="C46" s="132" t="s">
        <v>10</v>
      </c>
      <c r="D46" s="133">
        <v>43929.848181267182</v>
      </c>
      <c r="E46" s="133">
        <v>958.1</v>
      </c>
      <c r="F46" s="133">
        <v>44887.94818126718</v>
      </c>
      <c r="G46" s="156">
        <v>4.4000000000000004</v>
      </c>
      <c r="H46" s="156">
        <v>0.1</v>
      </c>
      <c r="I46" s="156">
        <f>G46+H46</f>
        <v>4.5</v>
      </c>
      <c r="J46" s="133">
        <v>45000</v>
      </c>
    </row>
    <row r="47" spans="1:10" s="90" customFormat="1" ht="46.8" x14ac:dyDescent="0.2">
      <c r="A47" s="139">
        <v>20</v>
      </c>
      <c r="B47" s="137" t="s">
        <v>35</v>
      </c>
      <c r="C47" s="132" t="s">
        <v>10</v>
      </c>
      <c r="D47" s="133">
        <v>32947.386135950386</v>
      </c>
      <c r="E47" s="133">
        <v>1071.8399999999999</v>
      </c>
      <c r="F47" s="133">
        <v>34019.226135950383</v>
      </c>
      <c r="G47" s="156">
        <v>3.3</v>
      </c>
      <c r="H47" s="156">
        <v>0.11</v>
      </c>
      <c r="I47" s="156">
        <f>G47+H47</f>
        <v>3.4099999999999997</v>
      </c>
      <c r="J47" s="133">
        <v>34100</v>
      </c>
    </row>
    <row r="48" spans="1:10" s="90" customFormat="1" ht="93.6" x14ac:dyDescent="0.2">
      <c r="A48" s="139">
        <v>21</v>
      </c>
      <c r="B48" s="137" t="s">
        <v>36</v>
      </c>
      <c r="C48" s="132" t="s">
        <v>10</v>
      </c>
      <c r="D48" s="133">
        <v>54912.310226583977</v>
      </c>
      <c r="E48" s="133">
        <v>1071.8399999999999</v>
      </c>
      <c r="F48" s="133">
        <v>55984.150226583974</v>
      </c>
      <c r="G48" s="156">
        <v>5.49</v>
      </c>
      <c r="H48" s="156">
        <v>0.11</v>
      </c>
      <c r="I48" s="156">
        <f>G48+H48</f>
        <v>5.6000000000000005</v>
      </c>
      <c r="J48" s="133">
        <v>56000</v>
      </c>
    </row>
    <row r="49" spans="1:10" s="91" customFormat="1" ht="78" x14ac:dyDescent="0.2">
      <c r="A49" s="139">
        <v>22</v>
      </c>
      <c r="B49" s="137" t="s">
        <v>37</v>
      </c>
      <c r="C49" s="132" t="s">
        <v>10</v>
      </c>
      <c r="D49" s="133">
        <v>65894.772271900772</v>
      </c>
      <c r="E49" s="133">
        <v>1071.8399999999999</v>
      </c>
      <c r="F49" s="133">
        <v>66966.612271900769</v>
      </c>
      <c r="G49" s="156">
        <v>6.59</v>
      </c>
      <c r="H49" s="156">
        <v>0.11</v>
      </c>
      <c r="I49" s="156">
        <f>G49+H49</f>
        <v>6.7</v>
      </c>
      <c r="J49" s="133">
        <v>67000</v>
      </c>
    </row>
    <row r="50" spans="1:10" s="91" customFormat="1" ht="15.6" x14ac:dyDescent="0.3">
      <c r="A50" s="135"/>
      <c r="B50" s="377" t="s">
        <v>316</v>
      </c>
      <c r="C50" s="378"/>
      <c r="D50" s="378"/>
      <c r="E50" s="378"/>
      <c r="F50" s="378"/>
      <c r="G50" s="378"/>
      <c r="H50" s="378"/>
      <c r="I50" s="378"/>
      <c r="J50" s="379"/>
    </row>
    <row r="51" spans="1:10" s="91" customFormat="1" ht="15.6" x14ac:dyDescent="0.25">
      <c r="A51" s="135"/>
      <c r="B51" s="369" t="s">
        <v>317</v>
      </c>
      <c r="C51" s="370"/>
      <c r="D51" s="370"/>
      <c r="E51" s="370"/>
      <c r="F51" s="370"/>
      <c r="G51" s="370"/>
      <c r="H51" s="370"/>
      <c r="I51" s="370"/>
      <c r="J51" s="372"/>
    </row>
    <row r="52" spans="1:10" s="91" customFormat="1" ht="31.2" x14ac:dyDescent="0.2">
      <c r="A52" s="130">
        <v>23</v>
      </c>
      <c r="B52" s="137" t="s">
        <v>318</v>
      </c>
      <c r="C52" s="132" t="s">
        <v>319</v>
      </c>
      <c r="D52" s="133">
        <v>60449.724174637668</v>
      </c>
      <c r="E52" s="133">
        <v>617.55163636363636</v>
      </c>
      <c r="F52" s="133">
        <v>61067.275811001302</v>
      </c>
      <c r="G52" s="156">
        <v>6.0449999999999999</v>
      </c>
      <c r="H52" s="156">
        <v>0.06</v>
      </c>
      <c r="I52" s="156">
        <f>G52+H52</f>
        <v>6.1049999999999995</v>
      </c>
      <c r="J52" s="133">
        <v>61000</v>
      </c>
    </row>
    <row r="53" spans="1:10" s="91" customFormat="1" ht="15.6" x14ac:dyDescent="0.2">
      <c r="A53" s="130">
        <v>24</v>
      </c>
      <c r="B53" s="137" t="s">
        <v>320</v>
      </c>
      <c r="C53" s="132" t="s">
        <v>319</v>
      </c>
      <c r="D53" s="133">
        <v>60449.724174637668</v>
      </c>
      <c r="E53" s="133">
        <v>450.47436000000005</v>
      </c>
      <c r="F53" s="133">
        <v>60900.198534637668</v>
      </c>
      <c r="G53" s="156">
        <v>6.0449999999999999</v>
      </c>
      <c r="H53" s="156">
        <v>0.05</v>
      </c>
      <c r="I53" s="156">
        <f>G53+H53</f>
        <v>6.0949999999999998</v>
      </c>
      <c r="J53" s="133">
        <v>61000</v>
      </c>
    </row>
    <row r="54" spans="1:10" s="91" customFormat="1" ht="15.6" x14ac:dyDescent="0.2">
      <c r="A54" s="130">
        <v>25</v>
      </c>
      <c r="B54" s="137" t="s">
        <v>321</v>
      </c>
      <c r="C54" s="132" t="s">
        <v>319</v>
      </c>
      <c r="D54" s="133">
        <v>40299.816116425107</v>
      </c>
      <c r="E54" s="133">
        <v>450.47436000000005</v>
      </c>
      <c r="F54" s="133">
        <v>40750.290476425107</v>
      </c>
      <c r="G54" s="156">
        <v>4.03</v>
      </c>
      <c r="H54" s="156">
        <v>0.05</v>
      </c>
      <c r="I54" s="156">
        <f>G54+H54</f>
        <v>4.08</v>
      </c>
      <c r="J54" s="133">
        <v>40800</v>
      </c>
    </row>
    <row r="55" spans="1:10" s="91" customFormat="1" ht="15.6" x14ac:dyDescent="0.25">
      <c r="A55" s="135"/>
      <c r="B55" s="369" t="s">
        <v>322</v>
      </c>
      <c r="C55" s="370"/>
      <c r="D55" s="370"/>
      <c r="E55" s="370"/>
      <c r="F55" s="370"/>
      <c r="G55" s="370"/>
      <c r="H55" s="370"/>
      <c r="I55" s="370"/>
      <c r="J55" s="372"/>
    </row>
    <row r="56" spans="1:10" s="91" customFormat="1" ht="15.6" x14ac:dyDescent="0.2">
      <c r="A56" s="130">
        <v>26</v>
      </c>
      <c r="B56" s="137" t="s">
        <v>323</v>
      </c>
      <c r="C56" s="132" t="s">
        <v>319</v>
      </c>
      <c r="D56" s="133">
        <v>80599.632232850214</v>
      </c>
      <c r="E56" s="133">
        <v>450.47436000000005</v>
      </c>
      <c r="F56" s="133">
        <v>81050.106592850207</v>
      </c>
      <c r="G56" s="156">
        <v>8.06</v>
      </c>
      <c r="H56" s="156">
        <v>0.05</v>
      </c>
      <c r="I56" s="156">
        <f t="shared" ref="I56:I66" si="2">G56+H56</f>
        <v>8.1100000000000012</v>
      </c>
      <c r="J56" s="133">
        <v>81100</v>
      </c>
    </row>
    <row r="57" spans="1:10" s="91" customFormat="1" ht="15.6" x14ac:dyDescent="0.2">
      <c r="A57" s="130">
        <v>27</v>
      </c>
      <c r="B57" s="137" t="s">
        <v>324</v>
      </c>
      <c r="C57" s="132" t="s">
        <v>319</v>
      </c>
      <c r="D57" s="133">
        <v>40299.816116425107</v>
      </c>
      <c r="E57" s="133">
        <v>450.47436000000005</v>
      </c>
      <c r="F57" s="133">
        <v>40750.290476425107</v>
      </c>
      <c r="G57" s="156">
        <v>8.06</v>
      </c>
      <c r="H57" s="156">
        <v>0.05</v>
      </c>
      <c r="I57" s="156">
        <f t="shared" si="2"/>
        <v>8.1100000000000012</v>
      </c>
      <c r="J57" s="133">
        <v>81100</v>
      </c>
    </row>
    <row r="58" spans="1:10" s="91" customFormat="1" ht="31.2" x14ac:dyDescent="0.2">
      <c r="A58" s="130">
        <v>28</v>
      </c>
      <c r="B58" s="137" t="s">
        <v>325</v>
      </c>
      <c r="C58" s="132" t="s">
        <v>319</v>
      </c>
      <c r="D58" s="133">
        <v>60449.724174637668</v>
      </c>
      <c r="E58" s="133">
        <v>450.47436000000005</v>
      </c>
      <c r="F58" s="133">
        <v>60900.198534637668</v>
      </c>
      <c r="G58" s="156">
        <v>6.0449999999999999</v>
      </c>
      <c r="H58" s="156">
        <v>0.05</v>
      </c>
      <c r="I58" s="156">
        <f t="shared" si="2"/>
        <v>6.0949999999999998</v>
      </c>
      <c r="J58" s="133">
        <v>61000</v>
      </c>
    </row>
    <row r="59" spans="1:10" s="91" customFormat="1" ht="31.2" x14ac:dyDescent="0.2">
      <c r="A59" s="130">
        <v>29</v>
      </c>
      <c r="B59" s="137" t="s">
        <v>326</v>
      </c>
      <c r="C59" s="132" t="s">
        <v>319</v>
      </c>
      <c r="D59" s="133">
        <v>100749.54029106279</v>
      </c>
      <c r="E59" s="133">
        <v>450.47436000000005</v>
      </c>
      <c r="F59" s="133">
        <v>101200.01465106278</v>
      </c>
      <c r="G59" s="156">
        <v>10.074999999999999</v>
      </c>
      <c r="H59" s="156">
        <v>0.05</v>
      </c>
      <c r="I59" s="156">
        <f t="shared" si="2"/>
        <v>10.125</v>
      </c>
      <c r="J59" s="133">
        <v>101300</v>
      </c>
    </row>
    <row r="60" spans="1:10" s="91" customFormat="1" ht="26.4" customHeight="1" x14ac:dyDescent="0.2">
      <c r="A60" s="397" t="s">
        <v>1</v>
      </c>
      <c r="B60" s="397" t="s">
        <v>2</v>
      </c>
      <c r="C60" s="397" t="s">
        <v>3</v>
      </c>
      <c r="D60" s="399" t="s">
        <v>172</v>
      </c>
      <c r="E60" s="399" t="s">
        <v>173</v>
      </c>
      <c r="F60" s="401" t="s">
        <v>4</v>
      </c>
      <c r="G60" s="399" t="s">
        <v>176</v>
      </c>
      <c r="H60" s="399" t="s">
        <v>355</v>
      </c>
      <c r="I60" s="399" t="s">
        <v>177</v>
      </c>
      <c r="J60" s="399" t="s">
        <v>356</v>
      </c>
    </row>
    <row r="61" spans="1:10" s="91" customFormat="1" ht="43.2" customHeight="1" x14ac:dyDescent="0.2">
      <c r="A61" s="398"/>
      <c r="B61" s="398"/>
      <c r="C61" s="398"/>
      <c r="D61" s="400"/>
      <c r="E61" s="400"/>
      <c r="F61" s="402"/>
      <c r="G61" s="400"/>
      <c r="H61" s="400"/>
      <c r="I61" s="400"/>
      <c r="J61" s="400"/>
    </row>
    <row r="62" spans="1:10" s="91" customFormat="1" ht="15.6" x14ac:dyDescent="0.3">
      <c r="A62" s="129">
        <v>1</v>
      </c>
      <c r="B62" s="129">
        <v>2</v>
      </c>
      <c r="C62" s="129">
        <v>3</v>
      </c>
      <c r="D62" s="129">
        <v>4</v>
      </c>
      <c r="E62" s="129">
        <v>5</v>
      </c>
      <c r="F62" s="129">
        <v>6</v>
      </c>
      <c r="G62" s="129">
        <v>4</v>
      </c>
      <c r="H62" s="129">
        <v>5</v>
      </c>
      <c r="I62" s="129">
        <v>6</v>
      </c>
      <c r="J62" s="129">
        <v>7</v>
      </c>
    </row>
    <row r="63" spans="1:10" s="91" customFormat="1" ht="46.8" x14ac:dyDescent="0.2">
      <c r="A63" s="130">
        <v>30</v>
      </c>
      <c r="B63" s="137" t="s">
        <v>327</v>
      </c>
      <c r="C63" s="132" t="s">
        <v>319</v>
      </c>
      <c r="D63" s="133">
        <v>120899.44834927534</v>
      </c>
      <c r="E63" s="133">
        <v>450.47436000000005</v>
      </c>
      <c r="F63" s="133">
        <v>121349.92270927533</v>
      </c>
      <c r="G63" s="156">
        <v>12.09</v>
      </c>
      <c r="H63" s="156">
        <v>0.05</v>
      </c>
      <c r="I63" s="156">
        <f t="shared" si="2"/>
        <v>12.14</v>
      </c>
      <c r="J63" s="133">
        <v>121400</v>
      </c>
    </row>
    <row r="64" spans="1:10" s="91" customFormat="1" ht="46.8" x14ac:dyDescent="0.2">
      <c r="A64" s="130">
        <v>31</v>
      </c>
      <c r="B64" s="137" t="s">
        <v>328</v>
      </c>
      <c r="C64" s="132" t="s">
        <v>319</v>
      </c>
      <c r="D64" s="133">
        <v>80599.632232850214</v>
      </c>
      <c r="E64" s="133">
        <v>450.47436000000005</v>
      </c>
      <c r="F64" s="133">
        <v>81050.106592850207</v>
      </c>
      <c r="G64" s="156">
        <v>8.06</v>
      </c>
      <c r="H64" s="156">
        <v>0.05</v>
      </c>
      <c r="I64" s="156">
        <f t="shared" si="2"/>
        <v>8.1100000000000012</v>
      </c>
      <c r="J64" s="133">
        <v>81100</v>
      </c>
    </row>
    <row r="65" spans="1:10" s="91" customFormat="1" ht="15.6" x14ac:dyDescent="0.2">
      <c r="A65" s="130">
        <v>32</v>
      </c>
      <c r="B65" s="137" t="s">
        <v>329</v>
      </c>
      <c r="C65" s="132" t="s">
        <v>319</v>
      </c>
      <c r="D65" s="133">
        <v>60449.724174637668</v>
      </c>
      <c r="E65" s="133">
        <v>4300.4743600000002</v>
      </c>
      <c r="F65" s="133">
        <v>64750.198534637668</v>
      </c>
      <c r="G65" s="156">
        <v>6.0449999999999999</v>
      </c>
      <c r="H65" s="156">
        <v>0.43</v>
      </c>
      <c r="I65" s="156">
        <f t="shared" si="2"/>
        <v>6.4749999999999996</v>
      </c>
      <c r="J65" s="133">
        <v>64800</v>
      </c>
    </row>
    <row r="66" spans="1:10" s="91" customFormat="1" ht="31.2" x14ac:dyDescent="0.2">
      <c r="A66" s="130">
        <v>33</v>
      </c>
      <c r="B66" s="137" t="s">
        <v>330</v>
      </c>
      <c r="C66" s="132" t="s">
        <v>319</v>
      </c>
      <c r="D66" s="133">
        <v>80599.632232850214</v>
      </c>
      <c r="E66" s="133">
        <v>450.47436000000005</v>
      </c>
      <c r="F66" s="133">
        <v>81050.106592850207</v>
      </c>
      <c r="G66" s="156">
        <v>8.06</v>
      </c>
      <c r="H66" s="156">
        <v>0.05</v>
      </c>
      <c r="I66" s="156">
        <f t="shared" si="2"/>
        <v>8.1100000000000012</v>
      </c>
      <c r="J66" s="133">
        <v>81100</v>
      </c>
    </row>
    <row r="67" spans="1:10" s="91" customFormat="1" ht="15.6" x14ac:dyDescent="0.2">
      <c r="A67" s="130">
        <v>34</v>
      </c>
      <c r="B67" s="137" t="s">
        <v>331</v>
      </c>
      <c r="C67" s="132" t="s">
        <v>319</v>
      </c>
      <c r="D67" s="133">
        <v>80599.632232850214</v>
      </c>
      <c r="E67" s="133">
        <v>4300.4743600000002</v>
      </c>
      <c r="F67" s="133">
        <v>84900.106592850207</v>
      </c>
      <c r="G67" s="156">
        <v>8.06</v>
      </c>
      <c r="H67" s="156">
        <v>0.43</v>
      </c>
      <c r="I67" s="156">
        <f>G67+H67</f>
        <v>8.49</v>
      </c>
      <c r="J67" s="133">
        <v>84900</v>
      </c>
    </row>
    <row r="68" spans="1:10" s="91" customFormat="1" ht="93.6" x14ac:dyDescent="0.2">
      <c r="A68" s="130">
        <v>35</v>
      </c>
      <c r="B68" s="137" t="s">
        <v>332</v>
      </c>
      <c r="C68" s="132" t="s">
        <v>319</v>
      </c>
      <c r="D68" s="133">
        <v>201499.08058212558</v>
      </c>
      <c r="E68" s="133">
        <v>450.47436000000005</v>
      </c>
      <c r="F68" s="133">
        <v>201949.55494212557</v>
      </c>
      <c r="G68" s="156">
        <v>20.149999999999999</v>
      </c>
      <c r="H68" s="156">
        <v>0.05</v>
      </c>
      <c r="I68" s="156">
        <f>G68+H68</f>
        <v>20.2</v>
      </c>
      <c r="J68" s="133">
        <v>202000</v>
      </c>
    </row>
    <row r="69" spans="1:10" s="91" customFormat="1" ht="15.6" x14ac:dyDescent="0.25">
      <c r="A69" s="135"/>
      <c r="B69" s="369" t="s">
        <v>333</v>
      </c>
      <c r="C69" s="370"/>
      <c r="D69" s="370"/>
      <c r="E69" s="370"/>
      <c r="F69" s="370"/>
      <c r="G69" s="370"/>
      <c r="H69" s="370"/>
      <c r="I69" s="370"/>
      <c r="J69" s="372"/>
    </row>
    <row r="70" spans="1:10" s="91" customFormat="1" ht="46.8" x14ac:dyDescent="0.2">
      <c r="A70" s="130">
        <v>36</v>
      </c>
      <c r="B70" s="137" t="s">
        <v>334</v>
      </c>
      <c r="C70" s="132" t="s">
        <v>319</v>
      </c>
      <c r="D70" s="133">
        <v>80599.632232850214</v>
      </c>
      <c r="E70" s="133">
        <v>450.47436000000005</v>
      </c>
      <c r="F70" s="133">
        <v>81050.106592850207</v>
      </c>
      <c r="G70" s="156">
        <v>8.06</v>
      </c>
      <c r="H70" s="156">
        <v>0.05</v>
      </c>
      <c r="I70" s="156">
        <f>G70+H70</f>
        <v>8.1100000000000012</v>
      </c>
      <c r="J70" s="133">
        <v>81100</v>
      </c>
    </row>
    <row r="71" spans="1:10" s="91" customFormat="1" ht="15.6" x14ac:dyDescent="0.2">
      <c r="A71" s="130">
        <v>37</v>
      </c>
      <c r="B71" s="137" t="s">
        <v>335</v>
      </c>
      <c r="C71" s="132" t="s">
        <v>319</v>
      </c>
      <c r="D71" s="133">
        <v>40299.816116425107</v>
      </c>
      <c r="E71" s="133">
        <v>450.47436000000005</v>
      </c>
      <c r="F71" s="133">
        <v>40750.290476425107</v>
      </c>
      <c r="G71" s="156">
        <v>4.03</v>
      </c>
      <c r="H71" s="156">
        <v>0.05</v>
      </c>
      <c r="I71" s="156">
        <f>G71+H71</f>
        <v>4.08</v>
      </c>
      <c r="J71" s="133">
        <v>40800</v>
      </c>
    </row>
    <row r="72" spans="1:10" s="91" customFormat="1" ht="31.2" x14ac:dyDescent="0.2">
      <c r="A72" s="130">
        <v>38</v>
      </c>
      <c r="B72" s="137" t="s">
        <v>336</v>
      </c>
      <c r="C72" s="132" t="s">
        <v>319</v>
      </c>
      <c r="D72" s="133">
        <v>80599.632232850214</v>
      </c>
      <c r="E72" s="133">
        <v>450.47436000000005</v>
      </c>
      <c r="F72" s="133">
        <v>81050.106592850207</v>
      </c>
      <c r="G72" s="156">
        <v>8.06</v>
      </c>
      <c r="H72" s="156">
        <v>0.05</v>
      </c>
      <c r="I72" s="156">
        <f>G72+H72</f>
        <v>8.1100000000000012</v>
      </c>
      <c r="J72" s="133">
        <v>81100</v>
      </c>
    </row>
    <row r="73" spans="1:10" s="91" customFormat="1" ht="31.2" x14ac:dyDescent="0.2">
      <c r="A73" s="130">
        <v>39</v>
      </c>
      <c r="B73" s="137" t="s">
        <v>337</v>
      </c>
      <c r="C73" s="132" t="s">
        <v>319</v>
      </c>
      <c r="D73" s="133">
        <v>40299.816116425107</v>
      </c>
      <c r="E73" s="133">
        <v>450.47436000000005</v>
      </c>
      <c r="F73" s="133">
        <v>40750.290476425107</v>
      </c>
      <c r="G73" s="156">
        <v>4.03</v>
      </c>
      <c r="H73" s="156">
        <v>0.05</v>
      </c>
      <c r="I73" s="156">
        <f>G73+H73</f>
        <v>4.08</v>
      </c>
      <c r="J73" s="133">
        <v>40800</v>
      </c>
    </row>
    <row r="74" spans="1:10" s="91" customFormat="1" ht="15.6" x14ac:dyDescent="0.25">
      <c r="A74" s="135"/>
      <c r="B74" s="369" t="s">
        <v>338</v>
      </c>
      <c r="C74" s="370"/>
      <c r="D74" s="370"/>
      <c r="E74" s="370"/>
      <c r="F74" s="370"/>
      <c r="G74" s="370"/>
      <c r="H74" s="370"/>
      <c r="I74" s="370"/>
      <c r="J74" s="372"/>
    </row>
    <row r="75" spans="1:10" s="91" customFormat="1" ht="31.2" x14ac:dyDescent="0.2">
      <c r="A75" s="130">
        <v>40</v>
      </c>
      <c r="B75" s="137" t="s">
        <v>339</v>
      </c>
      <c r="C75" s="132" t="s">
        <v>319</v>
      </c>
      <c r="D75" s="133">
        <v>161199.26446570043</v>
      </c>
      <c r="E75" s="133">
        <v>450.47436000000005</v>
      </c>
      <c r="F75" s="133">
        <v>161649.73882570042</v>
      </c>
      <c r="G75" s="156">
        <v>16.12</v>
      </c>
      <c r="H75" s="156">
        <v>0.05</v>
      </c>
      <c r="I75" s="156">
        <f>G75+H75</f>
        <v>16.170000000000002</v>
      </c>
      <c r="J75" s="133">
        <v>161700</v>
      </c>
    </row>
    <row r="76" spans="1:10" s="91" customFormat="1" ht="15.6" x14ac:dyDescent="0.2">
      <c r="A76" s="140">
        <v>41</v>
      </c>
      <c r="B76" s="141" t="s">
        <v>340</v>
      </c>
      <c r="C76" s="142" t="s">
        <v>319</v>
      </c>
      <c r="D76" s="133">
        <v>120899.44834927534</v>
      </c>
      <c r="E76" s="133">
        <v>450.47436000000005</v>
      </c>
      <c r="F76" s="143">
        <v>121349.92270927533</v>
      </c>
      <c r="G76" s="156">
        <v>12.09</v>
      </c>
      <c r="H76" s="156">
        <v>0.05</v>
      </c>
      <c r="I76" s="156">
        <f>G76+H76</f>
        <v>12.14</v>
      </c>
      <c r="J76" s="133">
        <v>121400</v>
      </c>
    </row>
    <row r="77" spans="1:10" s="106" customFormat="1" ht="15.6" x14ac:dyDescent="0.25">
      <c r="A77" s="140">
        <v>42</v>
      </c>
      <c r="B77" s="141" t="s">
        <v>341</v>
      </c>
      <c r="C77" s="142" t="s">
        <v>319</v>
      </c>
      <c r="D77" s="133">
        <v>120899.44834927534</v>
      </c>
      <c r="E77" s="133">
        <v>450.47436000000005</v>
      </c>
      <c r="F77" s="143">
        <v>121349.92270927533</v>
      </c>
      <c r="G77" s="156">
        <v>12.09</v>
      </c>
      <c r="H77" s="156">
        <v>0.05</v>
      </c>
      <c r="I77" s="156">
        <f>G77+H77</f>
        <v>12.14</v>
      </c>
      <c r="J77" s="133">
        <v>121400</v>
      </c>
    </row>
    <row r="78" spans="1:10" ht="15.6" x14ac:dyDescent="0.25">
      <c r="A78" s="140">
        <v>43</v>
      </c>
      <c r="B78" s="141" t="s">
        <v>342</v>
      </c>
      <c r="C78" s="142" t="s">
        <v>319</v>
      </c>
      <c r="D78" s="133">
        <v>120899.44834927534</v>
      </c>
      <c r="E78" s="133">
        <v>450.47436000000005</v>
      </c>
      <c r="F78" s="143">
        <v>121349.92270927533</v>
      </c>
      <c r="G78" s="156">
        <v>12.09</v>
      </c>
      <c r="H78" s="156">
        <v>0.05</v>
      </c>
      <c r="I78" s="156">
        <f>G78+H78</f>
        <v>12.14</v>
      </c>
      <c r="J78" s="133">
        <v>121400</v>
      </c>
    </row>
    <row r="79" spans="1:10" ht="15.6" x14ac:dyDescent="0.25">
      <c r="A79" s="140"/>
      <c r="B79" s="403"/>
      <c r="C79" s="404"/>
      <c r="D79" s="404"/>
      <c r="E79" s="404"/>
      <c r="F79" s="404"/>
      <c r="G79" s="404"/>
      <c r="H79" s="404"/>
      <c r="I79" s="404"/>
      <c r="J79" s="405"/>
    </row>
    <row r="80" spans="1:10" ht="15.6" x14ac:dyDescent="0.25">
      <c r="A80" s="130">
        <v>44</v>
      </c>
      <c r="B80" s="93" t="s">
        <v>408</v>
      </c>
      <c r="C80" s="132" t="s">
        <v>6</v>
      </c>
      <c r="D80" s="133"/>
      <c r="E80" s="133"/>
      <c r="F80" s="133"/>
      <c r="G80" s="156">
        <v>5</v>
      </c>
      <c r="H80" s="156">
        <v>0.01</v>
      </c>
      <c r="I80" s="156">
        <v>5.01</v>
      </c>
      <c r="J80" s="133">
        <v>50100</v>
      </c>
    </row>
    <row r="81" spans="1:10" ht="15.6" x14ac:dyDescent="0.25">
      <c r="A81" s="266"/>
      <c r="B81" s="267"/>
      <c r="C81" s="268"/>
      <c r="D81" s="269"/>
      <c r="E81" s="269"/>
      <c r="F81" s="269"/>
      <c r="G81" s="270"/>
      <c r="H81" s="270"/>
      <c r="I81" s="270"/>
      <c r="J81" s="269"/>
    </row>
    <row r="82" spans="1:10" ht="18" hidden="1" x14ac:dyDescent="0.35">
      <c r="A82" s="84"/>
      <c r="B82" s="271" t="s">
        <v>409</v>
      </c>
      <c r="C82" s="88"/>
      <c r="D82" s="88"/>
      <c r="E82" s="88"/>
      <c r="F82" s="88"/>
      <c r="G82" s="88"/>
      <c r="H82" s="91"/>
      <c r="I82" s="271" t="s">
        <v>410</v>
      </c>
      <c r="J82" s="91"/>
    </row>
    <row r="83" spans="1:10" x14ac:dyDescent="0.25">
      <c r="A83" s="104"/>
      <c r="B83" s="105"/>
      <c r="C83" s="87"/>
      <c r="D83" s="87"/>
      <c r="E83" s="87"/>
      <c r="F83" s="87"/>
      <c r="G83" s="87"/>
      <c r="H83" s="87"/>
      <c r="I83" s="107"/>
      <c r="J83" s="106"/>
    </row>
    <row r="84" spans="1:10" x14ac:dyDescent="0.25">
      <c r="A84" s="389"/>
      <c r="B84" s="390"/>
      <c r="C84" s="107"/>
      <c r="D84" s="107"/>
      <c r="E84" s="107"/>
      <c r="F84" s="107"/>
      <c r="G84" s="107"/>
      <c r="H84" s="107"/>
      <c r="I84" s="107"/>
    </row>
    <row r="85" spans="1:10" ht="15.6" x14ac:dyDescent="0.3">
      <c r="A85" s="108"/>
      <c r="B85" s="108"/>
      <c r="C85" s="108"/>
      <c r="D85" s="108"/>
      <c r="E85" s="108"/>
      <c r="F85" s="108"/>
      <c r="G85" s="108"/>
      <c r="H85" s="108"/>
      <c r="I85" s="108"/>
    </row>
    <row r="86" spans="1:10" ht="15.6" x14ac:dyDescent="0.25">
      <c r="A86" s="109"/>
      <c r="B86" s="110"/>
      <c r="C86" s="111"/>
    </row>
    <row r="87" spans="1:10" ht="15.6" x14ac:dyDescent="0.3">
      <c r="A87" s="108"/>
      <c r="B87" s="112"/>
      <c r="C87" s="113"/>
      <c r="D87" s="113"/>
      <c r="E87" s="113"/>
      <c r="F87" s="113"/>
      <c r="G87" s="113"/>
      <c r="H87" s="113"/>
      <c r="I87" s="113"/>
    </row>
  </sheetData>
  <mergeCells count="52">
    <mergeCell ref="B74:J74"/>
    <mergeCell ref="B79:J79"/>
    <mergeCell ref="A84:B84"/>
    <mergeCell ref="F60:F61"/>
    <mergeCell ref="G60:G61"/>
    <mergeCell ref="H60:H61"/>
    <mergeCell ref="I60:I61"/>
    <mergeCell ref="J60:J61"/>
    <mergeCell ref="B69:J69"/>
    <mergeCell ref="A60:A61"/>
    <mergeCell ref="B60:B61"/>
    <mergeCell ref="C60:C61"/>
    <mergeCell ref="D60:D61"/>
    <mergeCell ref="E60:E61"/>
    <mergeCell ref="B44:J44"/>
    <mergeCell ref="B45:J45"/>
    <mergeCell ref="B50:J50"/>
    <mergeCell ref="B51:J51"/>
    <mergeCell ref="B55:J55"/>
    <mergeCell ref="B42:J42"/>
    <mergeCell ref="B19:J19"/>
    <mergeCell ref="B24:J24"/>
    <mergeCell ref="B28:J28"/>
    <mergeCell ref="B34:J34"/>
    <mergeCell ref="F36:F37"/>
    <mergeCell ref="G36:G37"/>
    <mergeCell ref="H36:H37"/>
    <mergeCell ref="I36:I37"/>
    <mergeCell ref="J36:J37"/>
    <mergeCell ref="B40:J40"/>
    <mergeCell ref="D15:F15"/>
    <mergeCell ref="G15:I15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36:A37"/>
    <mergeCell ref="B36:B37"/>
    <mergeCell ref="C36:C37"/>
    <mergeCell ref="D36:D37"/>
    <mergeCell ref="E36:E37"/>
    <mergeCell ref="J13:J14"/>
    <mergeCell ref="I1:J1"/>
    <mergeCell ref="A5:B5"/>
    <mergeCell ref="A8:J8"/>
    <mergeCell ref="A9:J9"/>
    <mergeCell ref="A10:C10"/>
  </mergeCells>
  <pageMargins left="0.65" right="0.26" top="0.25" bottom="0.25" header="0.25" footer="0.25"/>
  <pageSetup paperSize="9" fitToHeight="0" orientation="portrait" r:id="rId1"/>
  <headerFooter alignWithMargins="0"/>
  <rowBreaks count="2" manualBreakCount="2">
    <brk id="35" max="9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13</vt:i4>
      </vt:variant>
    </vt:vector>
  </HeadingPairs>
  <TitlesOfParts>
    <vt:vector size="29" baseType="lpstr">
      <vt:lpstr>обучение РБ</vt:lpstr>
      <vt:lpstr>обучение МЛХ</vt:lpstr>
      <vt:lpstr>обучение иностр.</vt:lpstr>
      <vt:lpstr>гостиница МЛХ </vt:lpstr>
      <vt:lpstr>гостиница РБ </vt:lpstr>
      <vt:lpstr>гостиница иностр. </vt:lpstr>
      <vt:lpstr>медицина МЛХ </vt:lpstr>
      <vt:lpstr>медицина РБ </vt:lpstr>
      <vt:lpstr>медицина иностр. </vt:lpstr>
      <vt:lpstr>Анализ крови</vt:lpstr>
      <vt:lpstr>стомотология МХЛ </vt:lpstr>
      <vt:lpstr>стоматология РБ </vt:lpstr>
      <vt:lpstr>стоматология иностр. </vt:lpstr>
      <vt:lpstr>Доп.услуги РБ </vt:lpstr>
      <vt:lpstr>Доп.услуги иностр.</vt:lpstr>
      <vt:lpstr>Транспорт услуги</vt:lpstr>
      <vt:lpstr>'Анализ крови'!Область_печати</vt:lpstr>
      <vt:lpstr>'гостиница иностр. '!Область_печати</vt:lpstr>
      <vt:lpstr>'гостиница МЛХ '!Область_печати</vt:lpstr>
      <vt:lpstr>'гостиница РБ '!Область_печати</vt:lpstr>
      <vt:lpstr>'Доп.услуги иностр.'!Область_печати</vt:lpstr>
      <vt:lpstr>'Доп.услуги РБ '!Область_печати</vt:lpstr>
      <vt:lpstr>'медицина иностр. '!Область_печати</vt:lpstr>
      <vt:lpstr>'медицина МЛХ '!Область_печати</vt:lpstr>
      <vt:lpstr>'медицина РБ '!Область_печати</vt:lpstr>
      <vt:lpstr>'обучение иностр.'!Область_печати</vt:lpstr>
      <vt:lpstr>'стоматология иностр. '!Область_печати</vt:lpstr>
      <vt:lpstr>'стоматология РБ '!Область_печати</vt:lpstr>
      <vt:lpstr>'стомотология МХЛ 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locadmin</dc:creator>
  <cp:lastModifiedBy>user</cp:lastModifiedBy>
  <cp:lastPrinted>2016-06-26T14:58:42Z</cp:lastPrinted>
  <dcterms:created xsi:type="dcterms:W3CDTF">2014-11-14T08:42:48Z</dcterms:created>
  <dcterms:modified xsi:type="dcterms:W3CDTF">2017-05-23T12:35:23Z</dcterms:modified>
</cp:coreProperties>
</file>